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Q:\Annual EOY Reporting\2023\UAA Reporting\"/>
    </mc:Choice>
  </mc:AlternateContent>
  <xr:revisionPtr revIDLastSave="0" documentId="8_{8A3CED52-D55C-472A-9DA7-8B2D1444FE8E}" xr6:coauthVersionLast="47" xr6:coauthVersionMax="47" xr10:uidLastSave="{00000000-0000-0000-0000-000000000000}"/>
  <bookViews>
    <workbookView xWindow="-110" yWindow="-110" windowWidth="19420" windowHeight="10420" tabRatio="744" firstSheet="34" activeTab="34" xr2:uid="{00000000-000D-0000-FFFF-FFFF00000000}"/>
  </bookViews>
  <sheets>
    <sheet name="Cover" sheetId="40" r:id="rId1"/>
    <sheet name="Table 3.1-UAA Summary" sheetId="47" r:id="rId2"/>
    <sheet name="Table 3.2-Total Fwd Summary" sheetId="73" r:id="rId3"/>
    <sheet name="Table 3.3-PARS Fwd Summary" sheetId="71" r:id="rId4"/>
    <sheet name="Table 3.4-NonPARS Fwd Summary" sheetId="72" r:id="rId5"/>
    <sheet name="Table 3.5-Total RTS Summary" sheetId="70" r:id="rId6"/>
    <sheet name="Table 3.6-PARS RTS Summary" sheetId="67" r:id="rId7"/>
    <sheet name="Table 3.7-NonPARS RTS Summary" sheetId="69" r:id="rId8"/>
    <sheet name="Table 3.8-Total Wst Summary" sheetId="66" r:id="rId9"/>
    <sheet name="Table 3.9-PARS Wst Summary" sheetId="64" r:id="rId10"/>
    <sheet name="Table 3.10-NonPARS Wst Summary" sheetId="65" r:id="rId11"/>
    <sheet name="Table 3.11-Form3547 Costs" sheetId="78" r:id="rId12"/>
    <sheet name="Table 3.12-Form3579 Costs" sheetId="80" r:id="rId13"/>
    <sheet name="Table 3.13-COA Costs" sheetId="20" r:id="rId14"/>
    <sheet name="Table 3.14-Route UAA" sheetId="21" r:id="rId15"/>
    <sheet name="Table 3.15-Route UAA NoPARS" sheetId="63" r:id="rId16"/>
    <sheet name="Table 3.16-Route UAA PARS" sheetId="62" r:id="rId17"/>
    <sheet name="Table 3.17-No Record Mail" sheetId="37" r:id="rId18"/>
    <sheet name="Table 3.18-Nixie UAA" sheetId="22" r:id="rId19"/>
    <sheet name="Table 3.19-CFS UAA" sheetId="23" r:id="rId20"/>
    <sheet name="Table 3.20-CFS Non-CIOSS" sheetId="32" r:id="rId21"/>
    <sheet name="Table 3.21-CFS CIOSS Rejs" sheetId="54" r:id="rId22"/>
    <sheet name="Table 3.22-CFS Key Rates" sheetId="36" r:id="rId23"/>
    <sheet name="Table 3.23-CIOSS Summary" sheetId="49" r:id="rId24"/>
    <sheet name="Table 3.24-CIOSS Detail" sheetId="48" r:id="rId25"/>
    <sheet name="Table 3.25-REC Summary" sheetId="59" r:id="rId26"/>
    <sheet name="Table 3.26-REC Detail NonACS" sheetId="51" r:id="rId27"/>
    <sheet name="Table 3.27-REC Detail ACS" sheetId="75" r:id="rId28"/>
    <sheet name="Table 3.28-REC Volume" sheetId="50" r:id="rId29"/>
    <sheet name="Table 3.29-UAA MP Units" sheetId="30" r:id="rId30"/>
    <sheet name="Table 3.30-UAA MP Cost" sheetId="74" r:id="rId31"/>
    <sheet name="Table 3.31-Rating Post Due" sheetId="29" r:id="rId32"/>
    <sheet name="Table 3.32-Accounting Post Due" sheetId="26" r:id="rId33"/>
    <sheet name="Table 3.33-Delivery Post Due" sheetId="27" r:id="rId34"/>
    <sheet name="Table 3.34-Window Post Due" sheetId="28" r:id="rId35"/>
    <sheet name="Table 3.35-PD Vols" sheetId="68" r:id="rId36"/>
    <sheet name="Table 3.36-Process Form 3546" sheetId="33" r:id="rId37"/>
    <sheet name="Table 3.37-Notice Inputs" sheetId="77" r:id="rId38"/>
    <sheet name="Table 3.38-Form 3547 Dist" sheetId="76" r:id="rId39"/>
    <sheet name="Table 3.39-Form 3579 Dist" sheetId="55" r:id="rId40"/>
    <sheet name="Table 3.40-Form Processing" sheetId="25" r:id="rId41"/>
    <sheet name="Table 3.41-Man Notice" sheetId="81" r:id="rId42"/>
    <sheet name="Table 3.42-Vol Flows" sheetId="57" r:id="rId43"/>
    <sheet name="Table 3.43-Elec Notice" sheetId="82" r:id="rId44"/>
    <sheet name="Table 3.44-One Code ACS" sheetId="84" r:id="rId45"/>
    <sheet name="checksum" sheetId="42" r:id="rId46"/>
  </sheets>
  <definedNames>
    <definedName name="_xlnm.Print_Area" localSheetId="11">'Table 3.11-Form3547 Costs'!$A$1:$P$86</definedName>
    <definedName name="_xlnm.Print_Area" localSheetId="13">'Table 3.13-COA Costs'!$A$1:$N$88</definedName>
    <definedName name="_xlnm.Print_Area" localSheetId="14">'Table 3.14-Route UAA'!$A$1:$K$124</definedName>
    <definedName name="_xlnm.Print_Area" localSheetId="15">'Table 3.15-Route UAA NoPARS'!$A$1:$K$124</definedName>
    <definedName name="_xlnm.Print_Area" localSheetId="16">'Table 3.16-Route UAA PARS'!$A$1:$K$126</definedName>
    <definedName name="_xlnm.Print_Area" localSheetId="17">'Table 3.17-No Record Mail'!$A$1:$K$37</definedName>
    <definedName name="_xlnm.Print_Area" localSheetId="18">'Table 3.18-Nixie UAA'!$A$1:$J$52</definedName>
    <definedName name="_xlnm.Print_Area" localSheetId="19">'Table 3.19-CFS UAA'!$A$1:$K$117</definedName>
    <definedName name="_xlnm.Print_Area" localSheetId="1">'Table 3.1-UAA Summary'!$A$1:$N$85</definedName>
    <definedName name="_xlnm.Print_Area" localSheetId="21">'Table 3.21-CFS CIOSS Rejs'!$A$1:$I$118</definedName>
    <definedName name="_xlnm.Print_Area" localSheetId="22">'Table 3.22-CFS Key Rates'!$A$1:$K$32</definedName>
    <definedName name="_xlnm.Print_Area" localSheetId="26">'Table 3.26-REC Detail NonACS'!$A$1:$L$67</definedName>
    <definedName name="_xlnm.Print_Area" localSheetId="27">'Table 3.27-REC Detail ACS'!$A$1:$L$67</definedName>
    <definedName name="_xlnm.Print_Area" localSheetId="29">'Table 3.29-UAA MP Units'!$A$1:$G$33</definedName>
    <definedName name="_xlnm.Print_Area" localSheetId="31">'Table 3.31-Rating Post Due'!$A$1:$I$33</definedName>
    <definedName name="_xlnm.Print_Area" localSheetId="32">'Table 3.32-Accounting Post Due'!$A$1:$I$25</definedName>
    <definedName name="_xlnm.Print_Area" localSheetId="33">'Table 3.33-Delivery Post Due'!$A$1:$I$39</definedName>
    <definedName name="_xlnm.Print_Area" localSheetId="34">'Table 3.34-Window Post Due'!$A$1:$I$13</definedName>
    <definedName name="_xlnm.Print_Area" localSheetId="36">'Table 3.36-Process Form 3546'!$A$1:$J$24</definedName>
    <definedName name="_xlnm.Print_Area" localSheetId="40">'Table 3.40-Form Processing'!$A$1:$J$14</definedName>
    <definedName name="_xlnm.Print_Area" localSheetId="41">'Table 3.41-Man Notice'!$A$1:$F$44</definedName>
    <definedName name="_xlnm.Print_Area" localSheetId="43">'Table 3.43-Elec Notice'!$A$1:$R$45</definedName>
    <definedName name="_xlnm.Print_Area" localSheetId="44">'Table 3.44-One Code ACS'!$A$1:$R$45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6" i="20" l="1"/>
  <c r="N24" i="20"/>
  <c r="H17" i="36"/>
  <c r="B7" i="36"/>
  <c r="D30" i="74"/>
  <c r="D52" i="23"/>
  <c r="D56" i="23"/>
  <c r="B56" i="23"/>
  <c r="D39" i="23"/>
  <c r="B39" i="23"/>
  <c r="F8" i="84"/>
  <c r="L8" i="84"/>
  <c r="R8" i="84"/>
  <c r="B12" i="84"/>
  <c r="R12" i="84"/>
  <c r="R13" i="84"/>
  <c r="F20" i="84"/>
  <c r="L20" i="84"/>
  <c r="R20" i="84"/>
  <c r="B24" i="84"/>
  <c r="R24" i="84"/>
  <c r="R25" i="84"/>
  <c r="J73" i="47"/>
  <c r="F8" i="82"/>
  <c r="L8" i="82"/>
  <c r="R8" i="82"/>
  <c r="B12" i="82"/>
  <c r="R12" i="82"/>
  <c r="R13" i="82"/>
  <c r="F20" i="82"/>
  <c r="L20" i="82"/>
  <c r="R20" i="82"/>
  <c r="B24" i="82"/>
  <c r="R24" i="82"/>
  <c r="R25" i="82"/>
  <c r="B43" i="23"/>
  <c r="K102" i="23"/>
  <c r="M102" i="23" s="1"/>
  <c r="B52" i="23"/>
  <c r="H106" i="23"/>
  <c r="F103" i="32"/>
  <c r="F93" i="54"/>
  <c r="E45" i="75"/>
  <c r="C23" i="54"/>
  <c r="D43" i="23" s="1"/>
  <c r="F43" i="23" s="1"/>
  <c r="C28" i="54"/>
  <c r="C33" i="54"/>
  <c r="C90" i="54" s="1"/>
  <c r="F90" i="54" s="1"/>
  <c r="C93" i="54"/>
  <c r="C103" i="54"/>
  <c r="F103" i="54" s="1"/>
  <c r="C106" i="54"/>
  <c r="F106" i="54" s="1"/>
  <c r="C108" i="54"/>
  <c r="F108" i="54" s="1"/>
  <c r="K39" i="47"/>
  <c r="K40" i="47"/>
  <c r="C7" i="29"/>
  <c r="F52" i="23"/>
  <c r="F56" i="23"/>
  <c r="H54" i="54"/>
  <c r="I54" i="54" s="1"/>
  <c r="D7" i="54"/>
  <c r="D12" i="54"/>
  <c r="D17" i="54"/>
  <c r="D43" i="54"/>
  <c r="D48" i="54"/>
  <c r="D54" i="54"/>
  <c r="D59" i="54"/>
  <c r="D69" i="54"/>
  <c r="D74" i="54"/>
  <c r="D80" i="54"/>
  <c r="D85" i="54"/>
  <c r="B5" i="42"/>
  <c r="B6" i="42" s="1"/>
  <c r="B7" i="42" s="1"/>
  <c r="B8" i="42" s="1"/>
  <c r="B9" i="42" s="1"/>
  <c r="B10" i="42" s="1"/>
  <c r="B11" i="42" s="1"/>
  <c r="B12" i="42" s="1"/>
  <c r="B13" i="42" s="1"/>
  <c r="B14" i="42" s="1"/>
  <c r="B15" i="42" s="1"/>
  <c r="B16" i="42" s="1"/>
  <c r="B17" i="42" s="1"/>
  <c r="B18" i="42" s="1"/>
  <c r="B19" i="42" s="1"/>
  <c r="B20" i="42" s="1"/>
  <c r="B21" i="42" s="1"/>
  <c r="B22" i="42" s="1"/>
  <c r="B23" i="42" s="1"/>
  <c r="B24" i="42" s="1"/>
  <c r="B25" i="42" s="1"/>
  <c r="B26" i="42" s="1"/>
  <c r="B27" i="42" s="1"/>
  <c r="B28" i="42" s="1"/>
  <c r="B29" i="42" s="1"/>
  <c r="B30" i="42" s="1"/>
  <c r="B31" i="42" s="1"/>
  <c r="B32" i="42" s="1"/>
  <c r="B33" i="42" s="1"/>
  <c r="B34" i="42" s="1"/>
  <c r="B35" i="42" s="1"/>
  <c r="B36" i="42" s="1"/>
  <c r="B37" i="42" s="1"/>
  <c r="B38" i="42" s="1"/>
  <c r="B39" i="42" s="1"/>
  <c r="B40" i="42" s="1"/>
  <c r="B41" i="42" s="1"/>
  <c r="B42" i="42" s="1"/>
  <c r="B43" i="42" s="1"/>
  <c r="B44" i="42" s="1"/>
  <c r="B45" i="42" s="1"/>
  <c r="B46" i="42" s="1"/>
  <c r="B47" i="42" s="1"/>
  <c r="K12" i="36"/>
  <c r="B50" i="54"/>
  <c r="B56" i="54"/>
  <c r="B61" i="54"/>
  <c r="B8" i="36" l="1"/>
  <c r="H24" i="20"/>
  <c r="D25" i="23"/>
  <c r="D87" i="23" s="1"/>
  <c r="K20" i="57"/>
  <c r="N26" i="20"/>
  <c r="B19" i="36"/>
  <c r="B20" i="36" s="1"/>
  <c r="B21" i="36" s="1"/>
  <c r="B22" i="36" s="1"/>
  <c r="B24" i="36" s="1"/>
  <c r="H24" i="36" s="1"/>
  <c r="D74" i="32"/>
  <c r="K11" i="36"/>
  <c r="D43" i="32"/>
  <c r="C28" i="32"/>
  <c r="B45" i="54"/>
  <c r="D69" i="32"/>
  <c r="D21" i="23"/>
  <c r="C106" i="32"/>
  <c r="F106" i="32" s="1"/>
  <c r="B9" i="36"/>
  <c r="B10" i="36" s="1"/>
  <c r="B12" i="36" s="1"/>
  <c r="C33" i="32"/>
  <c r="C108" i="32"/>
  <c r="F108" i="32" s="1"/>
  <c r="G10" i="57"/>
  <c r="D59" i="32"/>
  <c r="F39" i="23"/>
  <c r="L20" i="57"/>
  <c r="I20" i="57"/>
  <c r="K24" i="36" l="1"/>
  <c r="H23" i="36"/>
  <c r="K23" i="36" s="1"/>
  <c r="B12" i="23"/>
  <c r="C23" i="32"/>
  <c r="B8" i="23"/>
  <c r="D85" i="32"/>
  <c r="D12" i="32"/>
  <c r="B21" i="23"/>
  <c r="M20" i="57"/>
  <c r="B25" i="23"/>
  <c r="D80" i="32"/>
  <c r="D83" i="23"/>
  <c r="D102" i="23"/>
  <c r="H102" i="23" s="1"/>
  <c r="F21" i="23"/>
  <c r="C30" i="32"/>
  <c r="H54" i="32"/>
  <c r="D17" i="32" l="1"/>
  <c r="I54" i="32"/>
  <c r="D48" i="32"/>
  <c r="C93" i="32"/>
  <c r="F93" i="32" s="1"/>
  <c r="D54" i="32"/>
  <c r="B87" i="23"/>
  <c r="F25" i="23"/>
  <c r="D12" i="23"/>
  <c r="B106" i="23"/>
  <c r="B83" i="23"/>
  <c r="F83" i="23" s="1"/>
  <c r="B70" i="23"/>
  <c r="B74" i="23"/>
  <c r="F87" i="23" l="1"/>
  <c r="F12" i="23"/>
  <c r="D74" i="23"/>
  <c r="D7" i="32"/>
  <c r="D8" i="23"/>
  <c r="C90" i="32"/>
  <c r="F90" i="32" l="1"/>
  <c r="F8" i="23"/>
  <c r="D70" i="23"/>
  <c r="F74" i="23"/>
  <c r="F70" i="23" l="1"/>
  <c r="E18" i="30" l="1"/>
  <c r="B30" i="74"/>
  <c r="F30" i="74" s="1"/>
  <c r="G28" i="50" l="1"/>
  <c r="H28" i="50"/>
  <c r="E28" i="51" s="1"/>
  <c r="H28" i="54" l="1"/>
  <c r="H85" i="32"/>
  <c r="H23" i="54"/>
  <c r="H17" i="54"/>
  <c r="H80" i="32"/>
  <c r="H7" i="54"/>
  <c r="H29" i="32"/>
  <c r="J25" i="23"/>
  <c r="H74" i="32"/>
  <c r="H12" i="32"/>
  <c r="H33" i="32"/>
  <c r="H85" i="54"/>
  <c r="H59" i="32"/>
  <c r="H59" i="54"/>
  <c r="J56" i="23"/>
  <c r="K56" i="23" s="1"/>
  <c r="H7" i="32"/>
  <c r="H33" i="54"/>
  <c r="J12" i="23"/>
  <c r="H80" i="54"/>
  <c r="J52" i="23"/>
  <c r="K52" i="23" s="1"/>
  <c r="H74" i="54"/>
  <c r="H48" i="32"/>
  <c r="J39" i="23"/>
  <c r="J43" i="23"/>
  <c r="H23" i="32"/>
  <c r="H12" i="54"/>
  <c r="J8" i="23"/>
  <c r="H43" i="32"/>
  <c r="H28" i="32"/>
  <c r="H69" i="54"/>
  <c r="H17" i="32"/>
  <c r="J21" i="23"/>
  <c r="H48" i="54"/>
  <c r="H43" i="54"/>
  <c r="H69" i="32"/>
  <c r="J9" i="33"/>
  <c r="F13" i="78"/>
  <c r="F6" i="78"/>
  <c r="D9" i="29"/>
  <c r="J74" i="20"/>
  <c r="J75" i="20"/>
  <c r="L26" i="20" l="1"/>
  <c r="H7" i="29"/>
  <c r="H8" i="29"/>
  <c r="I33" i="54"/>
  <c r="I7" i="54"/>
  <c r="I23" i="54"/>
  <c r="I12" i="54"/>
  <c r="I23" i="32"/>
  <c r="I74" i="54"/>
  <c r="I17" i="32"/>
  <c r="I85" i="32"/>
  <c r="I69" i="54"/>
  <c r="K43" i="23"/>
  <c r="I80" i="54"/>
  <c r="I85" i="54"/>
  <c r="I74" i="32"/>
  <c r="I28" i="54"/>
  <c r="I12" i="32"/>
  <c r="I69" i="32"/>
  <c r="H30" i="32"/>
  <c r="I28" i="32"/>
  <c r="J74" i="23"/>
  <c r="K12" i="23"/>
  <c r="I80" i="32"/>
  <c r="K21" i="23"/>
  <c r="J83" i="23"/>
  <c r="I48" i="32"/>
  <c r="I43" i="54"/>
  <c r="I43" i="32"/>
  <c r="K39" i="23"/>
  <c r="I59" i="54"/>
  <c r="I59" i="32"/>
  <c r="J87" i="23"/>
  <c r="K25" i="23"/>
  <c r="I17" i="54"/>
  <c r="I7" i="32"/>
  <c r="I48" i="54"/>
  <c r="K8" i="23"/>
  <c r="J70" i="23"/>
  <c r="I33" i="32"/>
  <c r="H15" i="20"/>
  <c r="K19" i="75" l="1"/>
  <c r="K44" i="75"/>
  <c r="L44" i="75" s="1"/>
  <c r="G44" i="75"/>
  <c r="K87" i="23"/>
  <c r="I7" i="29"/>
  <c r="H9" i="29"/>
  <c r="G21" i="75"/>
  <c r="K21" i="75"/>
  <c r="L15" i="20"/>
  <c r="H18" i="29"/>
  <c r="K70" i="23"/>
  <c r="K83" i="23"/>
  <c r="L24" i="20"/>
  <c r="K74" i="23"/>
  <c r="L27" i="20"/>
  <c r="N27" i="20" s="1"/>
  <c r="G19" i="75" l="1"/>
  <c r="L19" i="75"/>
  <c r="E4" i="59"/>
  <c r="K4" i="75"/>
  <c r="G4" i="75"/>
  <c r="L21" i="75"/>
  <c r="G5" i="75"/>
  <c r="K5" i="75"/>
  <c r="E5" i="59"/>
  <c r="L5" i="59" s="1"/>
  <c r="K6" i="75"/>
  <c r="G6" i="75"/>
  <c r="E6" i="59"/>
  <c r="L6" i="59" s="1"/>
  <c r="K20" i="75"/>
  <c r="L20" i="75" s="1"/>
  <c r="G20" i="75"/>
  <c r="G27" i="75"/>
  <c r="K27" i="75"/>
  <c r="G34" i="75"/>
  <c r="K34" i="75"/>
  <c r="L34" i="75" s="1"/>
  <c r="E36" i="22"/>
  <c r="I36" i="22"/>
  <c r="J36" i="22" s="1"/>
  <c r="F45" i="75"/>
  <c r="G43" i="75"/>
  <c r="K43" i="75"/>
  <c r="L25" i="20"/>
  <c r="N25" i="20" s="1"/>
  <c r="H25" i="20"/>
  <c r="G28" i="75"/>
  <c r="K28" i="75"/>
  <c r="L28" i="75" s="1"/>
  <c r="K12" i="75"/>
  <c r="G12" i="75"/>
  <c r="K13" i="75"/>
  <c r="G13" i="75"/>
  <c r="N15" i="20"/>
  <c r="H27" i="20"/>
  <c r="L17" i="20"/>
  <c r="N17" i="20" s="1"/>
  <c r="L35" i="20"/>
  <c r="N35" i="20" s="1"/>
  <c r="L33" i="20"/>
  <c r="N33" i="20" s="1"/>
  <c r="L19" i="20"/>
  <c r="N19" i="20" s="1"/>
  <c r="L12" i="75" l="1"/>
  <c r="L4" i="59"/>
  <c r="L4" i="75"/>
  <c r="L16" i="20"/>
  <c r="H16" i="20"/>
  <c r="L28" i="20"/>
  <c r="N28" i="20" s="1"/>
  <c r="H28" i="20"/>
  <c r="K45" i="75"/>
  <c r="L45" i="75" s="1"/>
  <c r="L43" i="75"/>
  <c r="L32" i="20"/>
  <c r="H32" i="20"/>
  <c r="L6" i="75"/>
  <c r="E16" i="59"/>
  <c r="L16" i="59" s="1"/>
  <c r="G45" i="75"/>
  <c r="L13" i="75"/>
  <c r="H19" i="20"/>
  <c r="H35" i="20"/>
  <c r="H17" i="20"/>
  <c r="L5" i="75"/>
  <c r="H33" i="20"/>
  <c r="L27" i="75"/>
  <c r="L20" i="20" l="1"/>
  <c r="N20" i="20" s="1"/>
  <c r="H20" i="20"/>
  <c r="N16" i="20"/>
  <c r="L36" i="20"/>
  <c r="N36" i="20" s="1"/>
  <c r="H36" i="20"/>
  <c r="N32" i="20"/>
  <c r="L29" i="20" l="1"/>
  <c r="H29" i="20"/>
  <c r="F30" i="20"/>
  <c r="H30" i="20" s="1"/>
  <c r="G28" i="48"/>
  <c r="K28" i="48"/>
  <c r="L28" i="48" s="1"/>
  <c r="L21" i="20"/>
  <c r="N21" i="20" s="1"/>
  <c r="H21" i="20"/>
  <c r="I35" i="22"/>
  <c r="E35" i="22"/>
  <c r="L37" i="20"/>
  <c r="N37" i="20" s="1"/>
  <c r="H37" i="20"/>
  <c r="E34" i="22"/>
  <c r="I34" i="22"/>
  <c r="J34" i="22" l="1"/>
  <c r="D40" i="20"/>
  <c r="K28" i="51"/>
  <c r="L28" i="51" s="1"/>
  <c r="G28" i="51"/>
  <c r="L6" i="20"/>
  <c r="H6" i="20"/>
  <c r="J35" i="22"/>
  <c r="N29" i="20"/>
  <c r="L30" i="20"/>
  <c r="N30" i="20" s="1"/>
  <c r="L10" i="20"/>
  <c r="N10" i="20" s="1"/>
  <c r="L8" i="20"/>
  <c r="N8" i="20" s="1"/>
  <c r="H10" i="20" l="1"/>
  <c r="N6" i="20"/>
  <c r="D79" i="20"/>
  <c r="D67" i="20"/>
  <c r="L7" i="20"/>
  <c r="N7" i="20" s="1"/>
  <c r="H7" i="20"/>
  <c r="H8" i="20"/>
  <c r="L48" i="20"/>
  <c r="N48" i="20" s="1"/>
  <c r="L58" i="20"/>
  <c r="N58" i="20" s="1"/>
  <c r="L11" i="20" l="1"/>
  <c r="N11" i="20" s="1"/>
  <c r="H11" i="20"/>
  <c r="E44" i="51"/>
  <c r="D75" i="20" s="1"/>
  <c r="L57" i="20"/>
  <c r="H57" i="20"/>
  <c r="L9" i="20"/>
  <c r="N9" i="20" s="1"/>
  <c r="L34" i="20"/>
  <c r="F38" i="20"/>
  <c r="H38" i="20" s="1"/>
  <c r="H34" i="20"/>
  <c r="L18" i="20"/>
  <c r="F22" i="20"/>
  <c r="H22" i="20" s="1"/>
  <c r="H18" i="20"/>
  <c r="H9" i="20"/>
  <c r="H48" i="20"/>
  <c r="L47" i="20"/>
  <c r="H47" i="20"/>
  <c r="H58" i="20"/>
  <c r="E43" i="51"/>
  <c r="F47" i="47"/>
  <c r="L47" i="47" s="1"/>
  <c r="L62" i="20"/>
  <c r="N62" i="20" s="1"/>
  <c r="L52" i="20"/>
  <c r="N52" i="20" s="1"/>
  <c r="L60" i="20"/>
  <c r="N60" i="20" s="1"/>
  <c r="L50" i="20"/>
  <c r="N50" i="20" s="1"/>
  <c r="H45" i="50" l="1"/>
  <c r="H62" i="20"/>
  <c r="H50" i="20"/>
  <c r="H52" i="20"/>
  <c r="D74" i="20"/>
  <c r="E45" i="51"/>
  <c r="N57" i="20"/>
  <c r="N47" i="20"/>
  <c r="H60" i="20"/>
  <c r="L38" i="20"/>
  <c r="N38" i="20" s="1"/>
  <c r="N34" i="20"/>
  <c r="L59" i="20"/>
  <c r="N59" i="20" s="1"/>
  <c r="H59" i="20"/>
  <c r="L49" i="20"/>
  <c r="N49" i="20" s="1"/>
  <c r="H49" i="20"/>
  <c r="L22" i="20"/>
  <c r="N22" i="20" s="1"/>
  <c r="N18" i="20"/>
  <c r="L63" i="20" l="1"/>
  <c r="N63" i="20" s="1"/>
  <c r="H63" i="20"/>
  <c r="D77" i="20"/>
  <c r="E55" i="51"/>
  <c r="C16" i="59"/>
  <c r="L53" i="20"/>
  <c r="N53" i="20" s="1"/>
  <c r="H53" i="20"/>
  <c r="L12" i="20"/>
  <c r="H12" i="20"/>
  <c r="F13" i="20"/>
  <c r="L61" i="20" l="1"/>
  <c r="F65" i="20"/>
  <c r="H65" i="20" s="1"/>
  <c r="H61" i="20"/>
  <c r="L54" i="20"/>
  <c r="N54" i="20" s="1"/>
  <c r="H54" i="20"/>
  <c r="L64" i="20"/>
  <c r="N64" i="20" s="1"/>
  <c r="H64" i="20"/>
  <c r="K44" i="51"/>
  <c r="L44" i="51" s="1"/>
  <c r="G44" i="51"/>
  <c r="F75" i="20"/>
  <c r="F45" i="51"/>
  <c r="K43" i="51"/>
  <c r="G43" i="51"/>
  <c r="F74" i="20"/>
  <c r="F40" i="20"/>
  <c r="H13" i="20"/>
  <c r="L51" i="20"/>
  <c r="F55" i="20"/>
  <c r="H51" i="20"/>
  <c r="N12" i="20"/>
  <c r="L13" i="20"/>
  <c r="N51" i="20" l="1"/>
  <c r="L55" i="20"/>
  <c r="H40" i="20"/>
  <c r="L40" i="20"/>
  <c r="N13" i="20"/>
  <c r="F77" i="20"/>
  <c r="F79" i="20" s="1"/>
  <c r="L74" i="20"/>
  <c r="H74" i="20"/>
  <c r="L43" i="51"/>
  <c r="K45" i="51"/>
  <c r="L45" i="51" s="1"/>
  <c r="G45" i="51"/>
  <c r="D16" i="59"/>
  <c r="F67" i="20"/>
  <c r="H55" i="20"/>
  <c r="L75" i="20"/>
  <c r="N75" i="20" s="1"/>
  <c r="H75" i="20"/>
  <c r="L65" i="20"/>
  <c r="N65" i="20" s="1"/>
  <c r="N61" i="20"/>
  <c r="H79" i="20" l="1"/>
  <c r="F16" i="59"/>
  <c r="G16" i="59" s="1"/>
  <c r="K16" i="59"/>
  <c r="M16" i="59" s="1"/>
  <c r="N16" i="59" s="1"/>
  <c r="N40" i="20"/>
  <c r="H67" i="20"/>
  <c r="L67" i="20"/>
  <c r="N67" i="20" s="1"/>
  <c r="N55" i="20"/>
  <c r="L77" i="20"/>
  <c r="N77" i="20" s="1"/>
  <c r="N74" i="20"/>
  <c r="L79" i="20" l="1"/>
  <c r="C16" i="42"/>
  <c r="E47" i="47" l="1"/>
  <c r="N79" i="20"/>
  <c r="H70" i="47" s="1"/>
  <c r="G47" i="47" l="1"/>
  <c r="K47" i="47"/>
  <c r="I70" i="47" s="1"/>
  <c r="J70" i="47" s="1"/>
  <c r="H65" i="47" l="1"/>
  <c r="M47" i="47"/>
  <c r="F31" i="62" l="1"/>
  <c r="K31" i="62" s="1"/>
  <c r="F29" i="62"/>
  <c r="K29" i="62" s="1"/>
  <c r="F30" i="62"/>
  <c r="K30" i="62" s="1"/>
  <c r="P30" i="21" l="1"/>
  <c r="H22" i="57"/>
  <c r="L21" i="57"/>
  <c r="L22" i="57" s="1"/>
  <c r="P29" i="21"/>
  <c r="P31" i="21"/>
  <c r="N29" i="21" l="1"/>
  <c r="D32" i="62"/>
  <c r="F28" i="62"/>
  <c r="K28" i="62" s="1"/>
  <c r="N31" i="21"/>
  <c r="N30" i="21"/>
  <c r="J30" i="62" l="1"/>
  <c r="B32" i="62"/>
  <c r="D32" i="21"/>
  <c r="P28" i="21"/>
  <c r="J29" i="63"/>
  <c r="F29" i="63"/>
  <c r="K29" i="63" s="1"/>
  <c r="J30" i="63"/>
  <c r="F30" i="63"/>
  <c r="K30" i="63" s="1"/>
  <c r="K32" i="62"/>
  <c r="D102" i="62"/>
  <c r="K102" i="62" s="1"/>
  <c r="F32" i="62"/>
  <c r="J31" i="63"/>
  <c r="F31" i="63"/>
  <c r="K31" i="63" s="1"/>
  <c r="D32" i="63"/>
  <c r="D102" i="63" s="1"/>
  <c r="B5" i="72" s="1"/>
  <c r="D82" i="63" l="1"/>
  <c r="E29" i="22"/>
  <c r="I29" i="22"/>
  <c r="J29" i="62"/>
  <c r="P32" i="21"/>
  <c r="D102" i="21"/>
  <c r="P102" i="21" s="1"/>
  <c r="B32" i="63"/>
  <c r="D11" i="63"/>
  <c r="D99" i="63" s="1"/>
  <c r="J31" i="62"/>
  <c r="B8" i="72"/>
  <c r="N28" i="21" l="1"/>
  <c r="B32" i="21"/>
  <c r="N32" i="21" s="1"/>
  <c r="D111" i="63"/>
  <c r="B5" i="69"/>
  <c r="J29" i="22"/>
  <c r="B20" i="73"/>
  <c r="B82" i="63"/>
  <c r="F30" i="21" l="1"/>
  <c r="K30" i="21" s="1"/>
  <c r="O30" i="21"/>
  <c r="J30" i="21"/>
  <c r="B8" i="69"/>
  <c r="J81" i="63"/>
  <c r="F81" i="63"/>
  <c r="K81" i="63" s="1"/>
  <c r="J31" i="21"/>
  <c r="F31" i="21"/>
  <c r="K31" i="21" s="1"/>
  <c r="O31" i="21"/>
  <c r="J29" i="21"/>
  <c r="O29" i="21"/>
  <c r="F29" i="21"/>
  <c r="K29" i="21" s="1"/>
  <c r="J79" i="63"/>
  <c r="F79" i="63"/>
  <c r="K79" i="63" s="1"/>
  <c r="J80" i="63"/>
  <c r="F80" i="63"/>
  <c r="K80" i="63" s="1"/>
  <c r="J8" i="63" l="1"/>
  <c r="F8" i="63"/>
  <c r="K8" i="63" s="1"/>
  <c r="B24" i="70"/>
  <c r="J9" i="63"/>
  <c r="F9" i="63"/>
  <c r="K9" i="63" s="1"/>
  <c r="C32" i="62"/>
  <c r="J28" i="62"/>
  <c r="J32" i="62" s="1"/>
  <c r="B11" i="63"/>
  <c r="J28" i="21" l="1"/>
  <c r="J32" i="21" s="1"/>
  <c r="O28" i="21"/>
  <c r="F28" i="21"/>
  <c r="K28" i="21" s="1"/>
  <c r="K32" i="21" s="1"/>
  <c r="C32" i="21"/>
  <c r="J10" i="63"/>
  <c r="F10" i="63"/>
  <c r="K10" i="63" s="1"/>
  <c r="I17" i="22"/>
  <c r="J17" i="22" s="1"/>
  <c r="E17" i="22"/>
  <c r="C32" i="63"/>
  <c r="F32" i="63" s="1"/>
  <c r="J28" i="63"/>
  <c r="J32" i="63" s="1"/>
  <c r="F28" i="63"/>
  <c r="K28" i="63" s="1"/>
  <c r="K32" i="63" s="1"/>
  <c r="F32" i="21" l="1"/>
  <c r="O32" i="21"/>
  <c r="C11" i="63"/>
  <c r="F11" i="63" s="1"/>
  <c r="J7" i="63"/>
  <c r="F7" i="63"/>
  <c r="K7" i="63" s="1"/>
  <c r="K11" i="63" s="1"/>
  <c r="J78" i="63"/>
  <c r="J82" i="63" s="1"/>
  <c r="C82" i="63"/>
  <c r="F78" i="63"/>
  <c r="K78" i="63" s="1"/>
  <c r="K82" i="63" s="1"/>
  <c r="J11" i="63" l="1"/>
  <c r="F24" i="63"/>
  <c r="K24" i="63" s="1"/>
  <c r="F82" i="63"/>
  <c r="P23" i="21" l="1"/>
  <c r="P22" i="21"/>
  <c r="P79" i="21"/>
  <c r="P24" i="21"/>
  <c r="P81" i="21"/>
  <c r="P80" i="21"/>
  <c r="B87" i="54" l="1"/>
  <c r="B22" i="67"/>
  <c r="N80" i="21"/>
  <c r="N81" i="21"/>
  <c r="B9" i="64"/>
  <c r="N79" i="21"/>
  <c r="P15" i="21"/>
  <c r="P16" i="21"/>
  <c r="P9" i="21"/>
  <c r="F17" i="63"/>
  <c r="K17" i="63" s="1"/>
  <c r="D38" i="63"/>
  <c r="D37" i="63"/>
  <c r="F59" i="63"/>
  <c r="K59" i="63" s="1"/>
  <c r="D36" i="63"/>
  <c r="P17" i="21"/>
  <c r="B6" i="65"/>
  <c r="B37" i="67"/>
  <c r="D60" i="62"/>
  <c r="D107" i="62" s="1"/>
  <c r="B21" i="67" s="1"/>
  <c r="B30" i="54"/>
  <c r="D38" i="22" l="1"/>
  <c r="N22" i="21"/>
  <c r="P57" i="21"/>
  <c r="D67" i="62"/>
  <c r="D108" i="62" s="1"/>
  <c r="B21" i="64" s="1"/>
  <c r="D82" i="62"/>
  <c r="B38" i="63"/>
  <c r="D52" i="62"/>
  <c r="D106" i="62" s="1"/>
  <c r="D70" i="62"/>
  <c r="D52" i="63"/>
  <c r="D106" i="63" s="1"/>
  <c r="D72" i="62"/>
  <c r="B14" i="54"/>
  <c r="D35" i="62"/>
  <c r="D38" i="62"/>
  <c r="P78" i="21"/>
  <c r="D82" i="21"/>
  <c r="B76" i="54"/>
  <c r="D25" i="62"/>
  <c r="D101" i="62" s="1"/>
  <c r="B39" i="64" s="1"/>
  <c r="B37" i="63"/>
  <c r="D36" i="62"/>
  <c r="P49" i="21"/>
  <c r="B22" i="64"/>
  <c r="D73" i="62"/>
  <c r="P50" i="21"/>
  <c r="B40" i="64"/>
  <c r="D71" i="62"/>
  <c r="P7" i="21"/>
  <c r="D11" i="21"/>
  <c r="B38" i="22"/>
  <c r="N23" i="21"/>
  <c r="B60" i="62"/>
  <c r="B28" i="67"/>
  <c r="B5" i="64"/>
  <c r="P59" i="21"/>
  <c r="D37" i="21"/>
  <c r="P21" i="21"/>
  <c r="D52" i="21"/>
  <c r="P48" i="21"/>
  <c r="D38" i="21"/>
  <c r="P38" i="21" s="1"/>
  <c r="P10" i="21"/>
  <c r="D37" i="62"/>
  <c r="D25" i="21"/>
  <c r="P8" i="21"/>
  <c r="D36" i="21"/>
  <c r="P36" i="21" s="1"/>
  <c r="N24" i="21"/>
  <c r="P58" i="21"/>
  <c r="P51" i="21"/>
  <c r="D11" i="62"/>
  <c r="D99" i="62" s="1"/>
  <c r="B36" i="63"/>
  <c r="N57" i="21" l="1"/>
  <c r="N17" i="21"/>
  <c r="B25" i="62"/>
  <c r="B72" i="62"/>
  <c r="P82" i="21"/>
  <c r="D111" i="21"/>
  <c r="G22" i="57"/>
  <c r="I21" i="57"/>
  <c r="I22" i="57" s="1"/>
  <c r="B82" i="62"/>
  <c r="B25" i="54"/>
  <c r="B44" i="23"/>
  <c r="B8" i="70"/>
  <c r="N59" i="21"/>
  <c r="D18" i="62"/>
  <c r="D100" i="62" s="1"/>
  <c r="B52" i="67" s="1"/>
  <c r="D111" i="62"/>
  <c r="B5" i="65" s="1"/>
  <c r="N16" i="21"/>
  <c r="B41" i="64"/>
  <c r="B37" i="62"/>
  <c r="B14" i="71"/>
  <c r="B13" i="71"/>
  <c r="D109" i="62"/>
  <c r="B67" i="62"/>
  <c r="D99" i="21"/>
  <c r="P11" i="21"/>
  <c r="B11" i="72"/>
  <c r="N15" i="21"/>
  <c r="B31" i="64"/>
  <c r="C13" i="49"/>
  <c r="B31" i="67"/>
  <c r="D103" i="62"/>
  <c r="D106" i="21"/>
  <c r="P52" i="21"/>
  <c r="C18" i="30"/>
  <c r="C7" i="30" s="1"/>
  <c r="H16" i="50"/>
  <c r="G16" i="50"/>
  <c r="B32" i="64" s="1"/>
  <c r="D32" i="64" s="1"/>
  <c r="K21" i="57"/>
  <c r="B22" i="57"/>
  <c r="J58" i="62"/>
  <c r="F58" i="62"/>
  <c r="K58" i="62" s="1"/>
  <c r="G37" i="50"/>
  <c r="H37" i="50"/>
  <c r="B46" i="64"/>
  <c r="B10" i="66" s="1"/>
  <c r="B28" i="64"/>
  <c r="B10" i="64"/>
  <c r="D39" i="62"/>
  <c r="H31" i="50"/>
  <c r="G31" i="50"/>
  <c r="D101" i="21"/>
  <c r="D25" i="63"/>
  <c r="D101" i="63" s="1"/>
  <c r="B15" i="65" s="1"/>
  <c r="P37" i="21"/>
  <c r="B36" i="21"/>
  <c r="D74" i="62"/>
  <c r="B42" i="64" l="1"/>
  <c r="B37" i="21"/>
  <c r="N37" i="21" s="1"/>
  <c r="N58" i="21"/>
  <c r="B35" i="54"/>
  <c r="B19" i="54"/>
  <c r="E37" i="75"/>
  <c r="E37" i="51"/>
  <c r="G15" i="50"/>
  <c r="B45" i="67" s="1"/>
  <c r="H15" i="50"/>
  <c r="B25" i="63"/>
  <c r="K22" i="57"/>
  <c r="M21" i="57"/>
  <c r="M22" i="57" s="1"/>
  <c r="B38" i="67"/>
  <c r="B9" i="70" s="1"/>
  <c r="J59" i="62"/>
  <c r="F59" i="62"/>
  <c r="K59" i="62" s="1"/>
  <c r="B20" i="71"/>
  <c r="B7" i="73" s="1"/>
  <c r="B45" i="64"/>
  <c r="B7" i="65"/>
  <c r="P56" i="21"/>
  <c r="D60" i="21"/>
  <c r="P25" i="21"/>
  <c r="B8" i="66"/>
  <c r="D23" i="74"/>
  <c r="D28" i="74"/>
  <c r="B36" i="64"/>
  <c r="B9" i="66" s="1"/>
  <c r="G36" i="50"/>
  <c r="H36" i="50"/>
  <c r="J80" i="62"/>
  <c r="F80" i="62"/>
  <c r="K80" i="62" s="1"/>
  <c r="J79" i="62"/>
  <c r="F79" i="62"/>
  <c r="K79" i="62" s="1"/>
  <c r="B53" i="67"/>
  <c r="F52" i="47"/>
  <c r="B38" i="62"/>
  <c r="D18" i="21"/>
  <c r="P14" i="21"/>
  <c r="D35" i="21"/>
  <c r="B54" i="67"/>
  <c r="B18" i="62"/>
  <c r="G30" i="50"/>
  <c r="H30" i="50"/>
  <c r="P106" i="21"/>
  <c r="B71" i="62"/>
  <c r="B82" i="21"/>
  <c r="N78" i="21"/>
  <c r="J57" i="62"/>
  <c r="F57" i="62"/>
  <c r="K57" i="62" s="1"/>
  <c r="B47" i="23"/>
  <c r="J100" i="23"/>
  <c r="J22" i="62"/>
  <c r="F22" i="62"/>
  <c r="K22" i="62" s="1"/>
  <c r="P101" i="21"/>
  <c r="D42" i="64"/>
  <c r="B6" i="66"/>
  <c r="B34" i="64"/>
  <c r="E16" i="51"/>
  <c r="E16" i="75"/>
  <c r="G13" i="50"/>
  <c r="B6" i="64" s="1"/>
  <c r="H13" i="50"/>
  <c r="K15" i="57"/>
  <c r="J24" i="63"/>
  <c r="B27" i="67"/>
  <c r="B59" i="67"/>
  <c r="B11" i="70" s="1"/>
  <c r="B18" i="30"/>
  <c r="B7" i="30" s="1"/>
  <c r="B82" i="54"/>
  <c r="B57" i="23"/>
  <c r="N49" i="21"/>
  <c r="H86" i="54"/>
  <c r="D86" i="54"/>
  <c r="C87" i="54"/>
  <c r="D87" i="54" s="1"/>
  <c r="B18" i="65"/>
  <c r="B16" i="66" s="1"/>
  <c r="B44" i="67"/>
  <c r="C12" i="49"/>
  <c r="F51" i="47" s="1"/>
  <c r="E31" i="51"/>
  <c r="E31" i="75"/>
  <c r="B44" i="64"/>
  <c r="D18" i="63"/>
  <c r="D100" i="63" s="1"/>
  <c r="D35" i="63"/>
  <c r="B73" i="62"/>
  <c r="B9" i="54"/>
  <c r="J64" i="62"/>
  <c r="F64" i="62"/>
  <c r="K64" i="62" s="1"/>
  <c r="D60" i="63"/>
  <c r="D107" i="63" s="1"/>
  <c r="J81" i="62"/>
  <c r="F81" i="62"/>
  <c r="K81" i="62" s="1"/>
  <c r="B71" i="54"/>
  <c r="B53" i="23"/>
  <c r="B14" i="72"/>
  <c r="P99" i="21"/>
  <c r="B54" i="64"/>
  <c r="C30" i="57"/>
  <c r="C22" i="57"/>
  <c r="N9" i="21"/>
  <c r="P111" i="21"/>
  <c r="B40" i="23" l="1"/>
  <c r="P63" i="21"/>
  <c r="D67" i="63"/>
  <c r="D108" i="63" s="1"/>
  <c r="B10" i="65" s="1"/>
  <c r="B58" i="67"/>
  <c r="B11" i="62"/>
  <c r="B35" i="62"/>
  <c r="B46" i="23"/>
  <c r="J99" i="23"/>
  <c r="H75" i="54"/>
  <c r="C76" i="54"/>
  <c r="D76" i="54" s="1"/>
  <c r="D75" i="54"/>
  <c r="C109" i="54"/>
  <c r="F109" i="54" s="1"/>
  <c r="J24" i="21"/>
  <c r="F24" i="21"/>
  <c r="K24" i="21" s="1"/>
  <c r="O24" i="21"/>
  <c r="B25" i="21"/>
  <c r="N25" i="21" s="1"/>
  <c r="N21" i="21"/>
  <c r="E36" i="75"/>
  <c r="E38" i="75" s="1"/>
  <c r="E54" i="75" s="1"/>
  <c r="E36" i="51"/>
  <c r="D72" i="63"/>
  <c r="J81" i="21"/>
  <c r="Q81" i="21" s="1"/>
  <c r="F81" i="21"/>
  <c r="K81" i="21" s="1"/>
  <c r="O81" i="21"/>
  <c r="N48" i="21"/>
  <c r="B52" i="21"/>
  <c r="B60" i="63"/>
  <c r="B17" i="30"/>
  <c r="B6" i="30" s="1"/>
  <c r="I86" i="54"/>
  <c r="H87" i="54"/>
  <c r="N50" i="21"/>
  <c r="N82" i="21"/>
  <c r="D71" i="63"/>
  <c r="J66" i="62"/>
  <c r="F66" i="62"/>
  <c r="K66" i="62" s="1"/>
  <c r="B14" i="66"/>
  <c r="J57" i="21"/>
  <c r="F57" i="21"/>
  <c r="K57" i="21" s="1"/>
  <c r="B52" i="62"/>
  <c r="B70" i="62"/>
  <c r="B74" i="62" s="1"/>
  <c r="B52" i="63"/>
  <c r="N7" i="21"/>
  <c r="B11" i="21"/>
  <c r="N11" i="21" s="1"/>
  <c r="D70" i="63"/>
  <c r="B49" i="67"/>
  <c r="B10" i="70" s="1"/>
  <c r="E13" i="51"/>
  <c r="B7" i="64"/>
  <c r="E22" i="57"/>
  <c r="D73" i="63"/>
  <c r="J65" i="62"/>
  <c r="F65" i="62"/>
  <c r="K65" i="62" s="1"/>
  <c r="P35" i="21"/>
  <c r="D39" i="21"/>
  <c r="D107" i="21"/>
  <c r="P60" i="21"/>
  <c r="D39" i="63"/>
  <c r="B60" i="23"/>
  <c r="B61" i="23" s="1"/>
  <c r="H108" i="23" s="1"/>
  <c r="D22" i="74"/>
  <c r="D27" i="74"/>
  <c r="D6" i="64"/>
  <c r="B50" i="64"/>
  <c r="P66" i="21"/>
  <c r="D73" i="21"/>
  <c r="E30" i="51"/>
  <c r="B57" i="67"/>
  <c r="E30" i="75"/>
  <c r="I33" i="22"/>
  <c r="E33" i="22"/>
  <c r="C38" i="22"/>
  <c r="E38" i="22" s="1"/>
  <c r="J24" i="62"/>
  <c r="F24" i="62"/>
  <c r="K24" i="62" s="1"/>
  <c r="J80" i="21"/>
  <c r="Q80" i="21" s="1"/>
  <c r="F80" i="21"/>
  <c r="K80" i="21" s="1"/>
  <c r="O80" i="21"/>
  <c r="B11" i="69"/>
  <c r="D109" i="63"/>
  <c r="B36" i="62"/>
  <c r="N36" i="21" s="1"/>
  <c r="N8" i="21"/>
  <c r="D70" i="21"/>
  <c r="D67" i="21"/>
  <c r="K13" i="48"/>
  <c r="G13" i="48"/>
  <c r="C13" i="59"/>
  <c r="J21" i="82"/>
  <c r="J21" i="84"/>
  <c r="B35" i="21"/>
  <c r="J59" i="63"/>
  <c r="B55" i="67"/>
  <c r="J23" i="62"/>
  <c r="F23" i="62"/>
  <c r="K23" i="62" s="1"/>
  <c r="D100" i="21"/>
  <c r="P18" i="21"/>
  <c r="K16" i="48"/>
  <c r="G16" i="48"/>
  <c r="D13" i="49"/>
  <c r="J23" i="63"/>
  <c r="F23" i="63"/>
  <c r="K23" i="63" s="1"/>
  <c r="J22" i="63"/>
  <c r="F22" i="63"/>
  <c r="K22" i="63" s="1"/>
  <c r="B47" i="67"/>
  <c r="E15" i="75"/>
  <c r="E50" i="75" s="1"/>
  <c r="E15" i="51"/>
  <c r="H107" i="23"/>
  <c r="B59" i="23"/>
  <c r="B17" i="69"/>
  <c r="D103" i="63"/>
  <c r="J17" i="62"/>
  <c r="F17" i="62"/>
  <c r="K17" i="62" s="1"/>
  <c r="J22" i="21"/>
  <c r="O22" i="21"/>
  <c r="F22" i="21"/>
  <c r="K22" i="21" s="1"/>
  <c r="B38" i="21"/>
  <c r="N38" i="21" s="1"/>
  <c r="N10" i="21"/>
  <c r="N51" i="21"/>
  <c r="B53" i="64"/>
  <c r="K31" i="48"/>
  <c r="G31" i="48"/>
  <c r="J16" i="63"/>
  <c r="J37" i="63" s="1"/>
  <c r="C37" i="63"/>
  <c r="F37" i="63" s="1"/>
  <c r="K37" i="63" s="1"/>
  <c r="F16" i="63"/>
  <c r="K16" i="63" s="1"/>
  <c r="D45" i="67"/>
  <c r="J79" i="21"/>
  <c r="Q79" i="21" s="1"/>
  <c r="F79" i="21"/>
  <c r="K79" i="21" s="1"/>
  <c r="O79" i="21"/>
  <c r="B21" i="73"/>
  <c r="B17" i="72"/>
  <c r="B24" i="72"/>
  <c r="J15" i="63"/>
  <c r="C36" i="63"/>
  <c r="F36" i="63" s="1"/>
  <c r="K36" i="63" s="1"/>
  <c r="F15" i="63"/>
  <c r="K15" i="63" s="1"/>
  <c r="P65" i="21"/>
  <c r="D72" i="21"/>
  <c r="P72" i="21" s="1"/>
  <c r="D22" i="57"/>
  <c r="C17" i="30"/>
  <c r="C6" i="30" s="1"/>
  <c r="K37" i="48"/>
  <c r="L37" i="48" s="1"/>
  <c r="G37" i="48"/>
  <c r="P64" i="21"/>
  <c r="D71" i="21"/>
  <c r="P71" i="21" s="1"/>
  <c r="C28" i="57" l="1"/>
  <c r="C29" i="54"/>
  <c r="P73" i="21"/>
  <c r="B27" i="64"/>
  <c r="B39" i="21"/>
  <c r="B23" i="74"/>
  <c r="B22" i="73"/>
  <c r="L31" i="48"/>
  <c r="F41" i="64"/>
  <c r="D41" i="64" s="1"/>
  <c r="E50" i="51"/>
  <c r="C12" i="59"/>
  <c r="J56" i="62"/>
  <c r="J60" i="62" s="1"/>
  <c r="C60" i="62"/>
  <c r="F56" i="62"/>
  <c r="K56" i="62" s="1"/>
  <c r="K60" i="62" s="1"/>
  <c r="F31" i="64"/>
  <c r="L16" i="48"/>
  <c r="F5" i="64"/>
  <c r="L13" i="48"/>
  <c r="P70" i="21"/>
  <c r="D74" i="21"/>
  <c r="B14" i="69"/>
  <c r="H29" i="54"/>
  <c r="C30" i="54"/>
  <c r="D30" i="54" s="1"/>
  <c r="E37" i="22"/>
  <c r="I37" i="22"/>
  <c r="J25" i="82"/>
  <c r="I20" i="22"/>
  <c r="E20" i="22"/>
  <c r="P100" i="21"/>
  <c r="D103" i="21"/>
  <c r="J15" i="62"/>
  <c r="F15" i="62"/>
  <c r="K15" i="62" s="1"/>
  <c r="C34" i="54"/>
  <c r="J16" i="62"/>
  <c r="F16" i="62"/>
  <c r="K16" i="62" s="1"/>
  <c r="F8" i="21"/>
  <c r="K8" i="21" s="1"/>
  <c r="C36" i="21"/>
  <c r="J8" i="21"/>
  <c r="D12" i="74"/>
  <c r="D7" i="74"/>
  <c r="D55" i="67"/>
  <c r="J57" i="63"/>
  <c r="F57" i="63"/>
  <c r="K57" i="63" s="1"/>
  <c r="D74" i="63"/>
  <c r="B7" i="25"/>
  <c r="F7" i="25" s="1"/>
  <c r="J7" i="25" s="1"/>
  <c r="B4" i="25"/>
  <c r="B12" i="65"/>
  <c r="F10" i="21"/>
  <c r="K10" i="21" s="1"/>
  <c r="J10" i="21"/>
  <c r="C38" i="21"/>
  <c r="B20" i="69"/>
  <c r="B26" i="70" s="1"/>
  <c r="I7" i="22"/>
  <c r="E7" i="22"/>
  <c r="J9" i="62"/>
  <c r="C37" i="62"/>
  <c r="F37" i="62" s="1"/>
  <c r="K37" i="62" s="1"/>
  <c r="F9" i="62"/>
  <c r="K9" i="62" s="1"/>
  <c r="K36" i="48"/>
  <c r="L36" i="48" s="1"/>
  <c r="G36" i="48"/>
  <c r="P107" i="21"/>
  <c r="F49" i="21"/>
  <c r="K49" i="21" s="1"/>
  <c r="J49" i="21"/>
  <c r="J23" i="21"/>
  <c r="F23" i="21"/>
  <c r="K23" i="21" s="1"/>
  <c r="O23" i="21"/>
  <c r="J50" i="62"/>
  <c r="C72" i="62"/>
  <c r="F50" i="62"/>
  <c r="K50" i="62" s="1"/>
  <c r="J36" i="63"/>
  <c r="B18" i="21"/>
  <c r="N14" i="21"/>
  <c r="I87" i="54"/>
  <c r="B76" i="67"/>
  <c r="B39" i="62"/>
  <c r="J24" i="82"/>
  <c r="F59" i="21"/>
  <c r="K59" i="21" s="1"/>
  <c r="J59" i="21"/>
  <c r="Q59" i="21" s="1"/>
  <c r="O59" i="21"/>
  <c r="D6" i="74"/>
  <c r="D11" i="74"/>
  <c r="O57" i="21"/>
  <c r="B18" i="63"/>
  <c r="B35" i="63"/>
  <c r="B39" i="63" s="1"/>
  <c r="K30" i="48"/>
  <c r="G30" i="48"/>
  <c r="N52" i="21"/>
  <c r="F15" i="21"/>
  <c r="K15" i="21" s="1"/>
  <c r="O15" i="21"/>
  <c r="J15" i="21"/>
  <c r="B48" i="23"/>
  <c r="F27" i="47"/>
  <c r="F64" i="47" s="1"/>
  <c r="H5" i="72"/>
  <c r="H11" i="72"/>
  <c r="L104" i="23"/>
  <c r="I13" i="49"/>
  <c r="J13" i="49" s="1"/>
  <c r="E13" i="49"/>
  <c r="F27" i="74"/>
  <c r="B75" i="67"/>
  <c r="K15" i="48"/>
  <c r="D12" i="49"/>
  <c r="G15" i="48"/>
  <c r="B25" i="73"/>
  <c r="H17" i="72"/>
  <c r="B22" i="72"/>
  <c r="D108" i="21"/>
  <c r="P108" i="21" s="1"/>
  <c r="P67" i="21"/>
  <c r="I38" i="22"/>
  <c r="J38" i="22" s="1"/>
  <c r="J33" i="22"/>
  <c r="P39" i="21"/>
  <c r="Q57" i="21"/>
  <c r="J17" i="21"/>
  <c r="J38" i="21" s="1"/>
  <c r="O17" i="21"/>
  <c r="F17" i="21"/>
  <c r="K17" i="21" s="1"/>
  <c r="J17" i="63"/>
  <c r="J38" i="63" s="1"/>
  <c r="C38" i="63"/>
  <c r="F38" i="63" s="1"/>
  <c r="K38" i="63" s="1"/>
  <c r="C82" i="54"/>
  <c r="D82" i="54" s="1"/>
  <c r="D57" i="23"/>
  <c r="D81" i="54"/>
  <c r="H81" i="54"/>
  <c r="B19" i="71"/>
  <c r="N56" i="21"/>
  <c r="B60" i="21"/>
  <c r="N60" i="21" s="1"/>
  <c r="I75" i="54"/>
  <c r="H76" i="54"/>
  <c r="I76" i="54" s="1"/>
  <c r="J37" i="62" l="1"/>
  <c r="O49" i="21"/>
  <c r="B7" i="74"/>
  <c r="J51" i="63"/>
  <c r="F51" i="63"/>
  <c r="K51" i="63" s="1"/>
  <c r="I81" i="54"/>
  <c r="H82" i="54"/>
  <c r="J24" i="84"/>
  <c r="L24" i="82"/>
  <c r="C38" i="62"/>
  <c r="F38" i="62" s="1"/>
  <c r="K38" i="62" s="1"/>
  <c r="J10" i="62"/>
  <c r="J38" i="62" s="1"/>
  <c r="F10" i="62"/>
  <c r="K10" i="62" s="1"/>
  <c r="C36" i="62"/>
  <c r="F36" i="62" s="1"/>
  <c r="K36" i="62" s="1"/>
  <c r="J8" i="62"/>
  <c r="J36" i="62" s="1"/>
  <c r="F8" i="62"/>
  <c r="K8" i="62" s="1"/>
  <c r="J9" i="21"/>
  <c r="C37" i="21"/>
  <c r="F9" i="21"/>
  <c r="K9" i="21" s="1"/>
  <c r="O9" i="21"/>
  <c r="F36" i="21"/>
  <c r="K36" i="21" s="1"/>
  <c r="J20" i="22"/>
  <c r="F6" i="65"/>
  <c r="H23" i="65"/>
  <c r="C25" i="21"/>
  <c r="F21" i="21"/>
  <c r="K21" i="21" s="1"/>
  <c r="K25" i="21" s="1"/>
  <c r="J21" i="21"/>
  <c r="J25" i="21" s="1"/>
  <c r="J37" i="22"/>
  <c r="F9" i="64"/>
  <c r="N35" i="21"/>
  <c r="O51" i="21"/>
  <c r="F51" i="21"/>
  <c r="K51" i="21" s="1"/>
  <c r="J51" i="21"/>
  <c r="J50" i="63"/>
  <c r="F50" i="63"/>
  <c r="K50" i="63" s="1"/>
  <c r="D9" i="67"/>
  <c r="F9" i="67" s="1"/>
  <c r="D37" i="67"/>
  <c r="F37" i="67" s="1"/>
  <c r="I12" i="49"/>
  <c r="J12" i="49" s="1"/>
  <c r="E12" i="49"/>
  <c r="C71" i="62"/>
  <c r="J49" i="62"/>
  <c r="F49" i="62"/>
  <c r="K49" i="62" s="1"/>
  <c r="J49" i="63"/>
  <c r="F49" i="63"/>
  <c r="K49" i="63" s="1"/>
  <c r="N18" i="21"/>
  <c r="B7" i="37"/>
  <c r="B71" i="21"/>
  <c r="B73" i="63"/>
  <c r="G31" i="75"/>
  <c r="K31" i="75"/>
  <c r="O8" i="21"/>
  <c r="B25" i="70"/>
  <c r="B23" i="69"/>
  <c r="B29" i="69"/>
  <c r="D5" i="64"/>
  <c r="D31" i="64"/>
  <c r="N39" i="21"/>
  <c r="D60" i="23"/>
  <c r="J57" i="23"/>
  <c r="F57" i="23"/>
  <c r="G37" i="75"/>
  <c r="K37" i="75"/>
  <c r="D35" i="64"/>
  <c r="D45" i="64"/>
  <c r="D53" i="23"/>
  <c r="D70" i="54"/>
  <c r="C107" i="54"/>
  <c r="F107" i="54" s="1"/>
  <c r="H70" i="54"/>
  <c r="C71" i="54"/>
  <c r="D71" i="54" s="1"/>
  <c r="F44" i="67"/>
  <c r="L15" i="48"/>
  <c r="O78" i="21"/>
  <c r="J78" i="21"/>
  <c r="F78" i="21"/>
  <c r="K78" i="21" s="1"/>
  <c r="K82" i="21" s="1"/>
  <c r="C82" i="21"/>
  <c r="B13" i="37"/>
  <c r="B14" i="37" s="1"/>
  <c r="J7" i="22"/>
  <c r="F22" i="67"/>
  <c r="D22" i="67" s="1"/>
  <c r="F38" i="21"/>
  <c r="K38" i="21" s="1"/>
  <c r="P103" i="21"/>
  <c r="B15" i="66"/>
  <c r="B20" i="65"/>
  <c r="B38" i="78"/>
  <c r="F38" i="78" s="1"/>
  <c r="B30" i="78"/>
  <c r="F30" i="78" s="1"/>
  <c r="E13" i="59"/>
  <c r="L13" i="59" s="1"/>
  <c r="K16" i="75"/>
  <c r="L16" i="75" s="1"/>
  <c r="G16" i="75"/>
  <c r="B71" i="63"/>
  <c r="F38" i="75"/>
  <c r="G38" i="75" s="1"/>
  <c r="J63" i="62"/>
  <c r="J67" i="62" s="1"/>
  <c r="C67" i="62"/>
  <c r="F63" i="62"/>
  <c r="K63" i="62" s="1"/>
  <c r="K67" i="62" s="1"/>
  <c r="B19" i="37"/>
  <c r="B20" i="37" s="1"/>
  <c r="B30" i="73"/>
  <c r="C24" i="54"/>
  <c r="K37" i="51"/>
  <c r="G37" i="51"/>
  <c r="F16" i="21"/>
  <c r="K16" i="21" s="1"/>
  <c r="O16" i="21"/>
  <c r="J16" i="21"/>
  <c r="O50" i="21"/>
  <c r="J50" i="21"/>
  <c r="Q50" i="21" s="1"/>
  <c r="F50" i="21"/>
  <c r="K50" i="21" s="1"/>
  <c r="O10" i="21"/>
  <c r="F23" i="74"/>
  <c r="B28" i="74"/>
  <c r="C52" i="21"/>
  <c r="O48" i="21"/>
  <c r="J48" i="21"/>
  <c r="F48" i="21"/>
  <c r="K48" i="21" s="1"/>
  <c r="C35" i="62"/>
  <c r="D109" i="21"/>
  <c r="P109" i="21" s="1"/>
  <c r="J51" i="62"/>
  <c r="C73" i="62"/>
  <c r="F51" i="62"/>
  <c r="K51" i="62" s="1"/>
  <c r="O21" i="21"/>
  <c r="C52" i="62"/>
  <c r="J48" i="62"/>
  <c r="C70" i="62"/>
  <c r="F48" i="62"/>
  <c r="K48" i="62" s="1"/>
  <c r="J78" i="62"/>
  <c r="J82" i="62" s="1"/>
  <c r="C82" i="62"/>
  <c r="F78" i="62"/>
  <c r="K78" i="62" s="1"/>
  <c r="K82" i="62" s="1"/>
  <c r="I29" i="54"/>
  <c r="H30" i="54"/>
  <c r="B32" i="73"/>
  <c r="F11" i="74"/>
  <c r="J21" i="62"/>
  <c r="J25" i="62" s="1"/>
  <c r="C25" i="62"/>
  <c r="F25" i="62" s="1"/>
  <c r="F21" i="62"/>
  <c r="K21" i="62" s="1"/>
  <c r="K25" i="62" s="1"/>
  <c r="J7" i="21"/>
  <c r="F7" i="21"/>
  <c r="K7" i="21" s="1"/>
  <c r="O7" i="21"/>
  <c r="C11" i="21"/>
  <c r="B72" i="63"/>
  <c r="L30" i="48"/>
  <c r="F54" i="67"/>
  <c r="D54" i="67" s="1"/>
  <c r="E11" i="22"/>
  <c r="I11" i="22"/>
  <c r="C11" i="62"/>
  <c r="F11" i="62" s="1"/>
  <c r="J7" i="62"/>
  <c r="F7" i="62"/>
  <c r="K7" i="62" s="1"/>
  <c r="F58" i="21"/>
  <c r="K58" i="21" s="1"/>
  <c r="O58" i="21"/>
  <c r="J58" i="21"/>
  <c r="H34" i="54"/>
  <c r="C35" i="54"/>
  <c r="D35" i="54" s="1"/>
  <c r="G31" i="51"/>
  <c r="K31" i="51"/>
  <c r="J37" i="82"/>
  <c r="P74" i="21"/>
  <c r="J72" i="62"/>
  <c r="F72" i="62"/>
  <c r="K72" i="62" s="1"/>
  <c r="J48" i="63"/>
  <c r="C52" i="63"/>
  <c r="F48" i="63"/>
  <c r="K48" i="63" s="1"/>
  <c r="J58" i="63"/>
  <c r="F58" i="63"/>
  <c r="K58" i="63" s="1"/>
  <c r="I8" i="22"/>
  <c r="E8" i="22"/>
  <c r="J36" i="21"/>
  <c r="I6" i="22"/>
  <c r="E6" i="22"/>
  <c r="D13" i="59"/>
  <c r="G16" i="51"/>
  <c r="K16" i="51"/>
  <c r="Q49" i="21" l="1"/>
  <c r="J52" i="63"/>
  <c r="K52" i="62"/>
  <c r="O38" i="21"/>
  <c r="B12" i="74"/>
  <c r="B39" i="74" s="1"/>
  <c r="F7" i="74"/>
  <c r="J52" i="62"/>
  <c r="K52" i="21"/>
  <c r="O36" i="21"/>
  <c r="Q51" i="21"/>
  <c r="J37" i="21"/>
  <c r="N64" i="21"/>
  <c r="C39" i="62"/>
  <c r="F35" i="62"/>
  <c r="K35" i="62" s="1"/>
  <c r="K39" i="62" s="1"/>
  <c r="F82" i="62"/>
  <c r="K30" i="51"/>
  <c r="G30" i="51"/>
  <c r="D44" i="67"/>
  <c r="B67" i="63"/>
  <c r="B70" i="63"/>
  <c r="B74" i="63" s="1"/>
  <c r="F25" i="21"/>
  <c r="I82" i="54"/>
  <c r="F11" i="21"/>
  <c r="O11" i="21"/>
  <c r="L37" i="51"/>
  <c r="C104" i="54"/>
  <c r="H24" i="54"/>
  <c r="C25" i="54"/>
  <c r="D25" i="54" s="1"/>
  <c r="D44" i="23"/>
  <c r="K13" i="51"/>
  <c r="G13" i="51"/>
  <c r="L27" i="47"/>
  <c r="H16" i="65"/>
  <c r="J16" i="65" s="1"/>
  <c r="H6" i="65"/>
  <c r="H15" i="65"/>
  <c r="H5" i="65"/>
  <c r="H10" i="65"/>
  <c r="F14" i="37"/>
  <c r="J14" i="37" s="1"/>
  <c r="K14" i="37" s="1"/>
  <c r="B15" i="37"/>
  <c r="F82" i="21"/>
  <c r="O82" i="21"/>
  <c r="F37" i="21"/>
  <c r="K37" i="21" s="1"/>
  <c r="O37" i="21"/>
  <c r="H18" i="54"/>
  <c r="D18" i="54"/>
  <c r="C19" i="54"/>
  <c r="D19" i="54" s="1"/>
  <c r="B17" i="66"/>
  <c r="G36" i="51"/>
  <c r="K36" i="51"/>
  <c r="K15" i="75"/>
  <c r="E12" i="59"/>
  <c r="L12" i="59" s="1"/>
  <c r="G15" i="75"/>
  <c r="F40" i="64"/>
  <c r="D40" i="64" s="1"/>
  <c r="J11" i="22"/>
  <c r="I30" i="54"/>
  <c r="K36" i="75"/>
  <c r="G36" i="75"/>
  <c r="B14" i="78"/>
  <c r="F5" i="25"/>
  <c r="J5" i="25" s="1"/>
  <c r="B7" i="78"/>
  <c r="D90" i="63"/>
  <c r="D90" i="62"/>
  <c r="Q78" i="21"/>
  <c r="J82" i="21"/>
  <c r="K57" i="23"/>
  <c r="B30" i="70"/>
  <c r="H23" i="69"/>
  <c r="B27" i="69"/>
  <c r="K23" i="47"/>
  <c r="D6" i="65"/>
  <c r="J6" i="65" s="1"/>
  <c r="J23" i="65"/>
  <c r="K23" i="65" s="1"/>
  <c r="N63" i="21"/>
  <c r="B67" i="21"/>
  <c r="B70" i="21"/>
  <c r="Q58" i="21"/>
  <c r="K11" i="21"/>
  <c r="J73" i="62"/>
  <c r="F73" i="62"/>
  <c r="K73" i="62" s="1"/>
  <c r="J52" i="21"/>
  <c r="Q48" i="21"/>
  <c r="D39" i="74"/>
  <c r="F28" i="74"/>
  <c r="D93" i="62"/>
  <c r="D93" i="63"/>
  <c r="F50" i="75"/>
  <c r="F45" i="64"/>
  <c r="J60" i="23"/>
  <c r="K60" i="23" s="1"/>
  <c r="F60" i="23"/>
  <c r="B27" i="70"/>
  <c r="D9" i="64"/>
  <c r="J11" i="62"/>
  <c r="N65" i="21"/>
  <c r="B72" i="21"/>
  <c r="N72" i="21" s="1"/>
  <c r="G30" i="75"/>
  <c r="K30" i="75"/>
  <c r="H18" i="69"/>
  <c r="J18" i="69" s="1"/>
  <c r="I27" i="47"/>
  <c r="H5" i="69"/>
  <c r="H17" i="69"/>
  <c r="H11" i="69"/>
  <c r="L16" i="51"/>
  <c r="F34" i="64"/>
  <c r="K15" i="51"/>
  <c r="D12" i="59"/>
  <c r="G15" i="51"/>
  <c r="F50" i="51"/>
  <c r="F44" i="64"/>
  <c r="D44" i="64" s="1"/>
  <c r="L31" i="51"/>
  <c r="J11" i="21"/>
  <c r="C74" i="62"/>
  <c r="J70" i="62"/>
  <c r="F70" i="62"/>
  <c r="K70" i="62" s="1"/>
  <c r="I10" i="22"/>
  <c r="E10" i="22"/>
  <c r="D94" i="63"/>
  <c r="D94" i="62"/>
  <c r="F35" i="64"/>
  <c r="B24" i="37"/>
  <c r="L24" i="84"/>
  <c r="J37" i="84"/>
  <c r="J14" i="62"/>
  <c r="J18" i="62" s="1"/>
  <c r="C18" i="62"/>
  <c r="F18" i="62" s="1"/>
  <c r="F14" i="62"/>
  <c r="K14" i="62" s="1"/>
  <c r="K18" i="62" s="1"/>
  <c r="J53" i="23"/>
  <c r="K103" i="23"/>
  <c r="D59" i="23"/>
  <c r="F53" i="23"/>
  <c r="H51" i="64"/>
  <c r="J8" i="22"/>
  <c r="H22" i="66"/>
  <c r="F22" i="64"/>
  <c r="D22" i="64" s="1"/>
  <c r="O52" i="21"/>
  <c r="F20" i="37"/>
  <c r="J20" i="37" s="1"/>
  <c r="K20" i="37" s="1"/>
  <c r="B21" i="37"/>
  <c r="K38" i="75"/>
  <c r="L38" i="75" s="1"/>
  <c r="L37" i="75"/>
  <c r="C35" i="63"/>
  <c r="L31" i="75"/>
  <c r="B8" i="37"/>
  <c r="B25" i="37"/>
  <c r="H33" i="71"/>
  <c r="J6" i="22"/>
  <c r="F14" i="71"/>
  <c r="I34" i="54"/>
  <c r="H35" i="54"/>
  <c r="D91" i="62"/>
  <c r="D91" i="63"/>
  <c r="K13" i="59"/>
  <c r="M13" i="59" s="1"/>
  <c r="N13" i="59" s="1"/>
  <c r="F13" i="59"/>
  <c r="G13" i="59" s="1"/>
  <c r="K52" i="63"/>
  <c r="K11" i="62"/>
  <c r="J21" i="63"/>
  <c r="J25" i="63" s="1"/>
  <c r="C25" i="63"/>
  <c r="F25" i="63" s="1"/>
  <c r="F21" i="63"/>
  <c r="K21" i="63" s="1"/>
  <c r="K25" i="63" s="1"/>
  <c r="I70" i="54"/>
  <c r="H71" i="54"/>
  <c r="I71" i="54" s="1"/>
  <c r="N71" i="21"/>
  <c r="J71" i="62"/>
  <c r="F71" i="62"/>
  <c r="K71" i="62" s="1"/>
  <c r="N66" i="21"/>
  <c r="B73" i="21"/>
  <c r="N73" i="21" s="1"/>
  <c r="F12" i="74" l="1"/>
  <c r="P94" i="21"/>
  <c r="P93" i="21"/>
  <c r="P90" i="21"/>
  <c r="J35" i="62"/>
  <c r="J39" i="62" s="1"/>
  <c r="P91" i="21"/>
  <c r="O64" i="21"/>
  <c r="J64" i="63"/>
  <c r="F64" i="63"/>
  <c r="K64" i="63" s="1"/>
  <c r="C71" i="63"/>
  <c r="L36" i="51"/>
  <c r="F59" i="23"/>
  <c r="D61" i="23"/>
  <c r="F61" i="23" s="1"/>
  <c r="J59" i="23"/>
  <c r="J64" i="21"/>
  <c r="F64" i="21"/>
  <c r="K64" i="21" s="1"/>
  <c r="C71" i="21"/>
  <c r="M103" i="23"/>
  <c r="K104" i="23"/>
  <c r="M104" i="23" s="1"/>
  <c r="K50" i="51"/>
  <c r="L50" i="51" s="1"/>
  <c r="G50" i="51"/>
  <c r="Q82" i="21"/>
  <c r="L36" i="75"/>
  <c r="L13" i="51"/>
  <c r="F7" i="64"/>
  <c r="L15" i="75"/>
  <c r="F57" i="67"/>
  <c r="D57" i="67" s="1"/>
  <c r="L30" i="51"/>
  <c r="F47" i="67"/>
  <c r="L15" i="51"/>
  <c r="G50" i="75"/>
  <c r="K50" i="75"/>
  <c r="L50" i="75" s="1"/>
  <c r="C39" i="63"/>
  <c r="F35" i="63"/>
  <c r="K35" i="63" s="1"/>
  <c r="K39" i="63" s="1"/>
  <c r="I35" i="54"/>
  <c r="K53" i="23"/>
  <c r="F53" i="67"/>
  <c r="D53" i="67" s="1"/>
  <c r="J10" i="22"/>
  <c r="B36" i="70"/>
  <c r="L64" i="47"/>
  <c r="J44" i="23"/>
  <c r="F44" i="23"/>
  <c r="D47" i="23"/>
  <c r="K12" i="59"/>
  <c r="M12" i="59" s="1"/>
  <c r="N12" i="59" s="1"/>
  <c r="F12" i="59"/>
  <c r="G12" i="59" s="1"/>
  <c r="D48" i="67"/>
  <c r="F48" i="67" s="1"/>
  <c r="D58" i="67"/>
  <c r="F58" i="67" s="1"/>
  <c r="K74" i="62"/>
  <c r="E51" i="47"/>
  <c r="F104" i="54"/>
  <c r="I64" i="47"/>
  <c r="E9" i="47"/>
  <c r="J33" i="71"/>
  <c r="D14" i="71"/>
  <c r="C70" i="63"/>
  <c r="J74" i="62"/>
  <c r="Q52" i="21"/>
  <c r="B74" i="21"/>
  <c r="N70" i="21"/>
  <c r="B34" i="70"/>
  <c r="F14" i="78"/>
  <c r="O25" i="21"/>
  <c r="C18" i="21"/>
  <c r="J14" i="21"/>
  <c r="O14" i="21"/>
  <c r="F14" i="21"/>
  <c r="K14" i="21" s="1"/>
  <c r="K18" i="21" s="1"/>
  <c r="C35" i="21"/>
  <c r="J56" i="63"/>
  <c r="J60" i="63" s="1"/>
  <c r="C60" i="63"/>
  <c r="F56" i="63"/>
  <c r="K56" i="63" s="1"/>
  <c r="K60" i="63" s="1"/>
  <c r="F7" i="78"/>
  <c r="I18" i="54"/>
  <c r="H19" i="54"/>
  <c r="I24" i="54"/>
  <c r="H25" i="54"/>
  <c r="J14" i="63"/>
  <c r="C18" i="63"/>
  <c r="F18" i="63" s="1"/>
  <c r="F14" i="63"/>
  <c r="K14" i="63" s="1"/>
  <c r="K18" i="63" s="1"/>
  <c r="J51" i="64"/>
  <c r="J22" i="66" s="1"/>
  <c r="K22" i="66" s="1"/>
  <c r="N67" i="21"/>
  <c r="B9" i="37"/>
  <c r="F8" i="37"/>
  <c r="B26" i="37"/>
  <c r="H21" i="84"/>
  <c r="H21" i="82"/>
  <c r="D34" i="64"/>
  <c r="F36" i="64"/>
  <c r="L30" i="75"/>
  <c r="K9" i="47"/>
  <c r="K35" i="47" s="1"/>
  <c r="F56" i="21"/>
  <c r="K56" i="21" s="1"/>
  <c r="K60" i="21" s="1"/>
  <c r="O56" i="21"/>
  <c r="J56" i="21"/>
  <c r="C60" i="21"/>
  <c r="O60" i="21" s="1"/>
  <c r="C70" i="21"/>
  <c r="Q64" i="21" l="1"/>
  <c r="L21" i="84"/>
  <c r="J70" i="63"/>
  <c r="F70" i="63"/>
  <c r="K70" i="63" s="1"/>
  <c r="F18" i="21"/>
  <c r="O18" i="21"/>
  <c r="F65" i="21"/>
  <c r="K65" i="21" s="1"/>
  <c r="J65" i="21"/>
  <c r="O65" i="21"/>
  <c r="C72" i="21"/>
  <c r="K51" i="64"/>
  <c r="C73" i="63"/>
  <c r="J66" i="63"/>
  <c r="F66" i="63"/>
  <c r="K66" i="63" s="1"/>
  <c r="J18" i="21"/>
  <c r="J35" i="21"/>
  <c r="J39" i="21" s="1"/>
  <c r="N74" i="21"/>
  <c r="C50" i="54"/>
  <c r="D50" i="54" s="1"/>
  <c r="H49" i="54"/>
  <c r="D49" i="54"/>
  <c r="L21" i="82"/>
  <c r="H55" i="54"/>
  <c r="D55" i="54"/>
  <c r="C56" i="54"/>
  <c r="D56" i="54" s="1"/>
  <c r="J63" i="63"/>
  <c r="C67" i="63"/>
  <c r="F63" i="63"/>
  <c r="K63" i="63" s="1"/>
  <c r="J65" i="63"/>
  <c r="Q65" i="21" s="1"/>
  <c r="F65" i="63"/>
  <c r="K65" i="63" s="1"/>
  <c r="C72" i="63"/>
  <c r="D92" i="54"/>
  <c r="H25" i="82"/>
  <c r="H25" i="84"/>
  <c r="K33" i="71"/>
  <c r="J71" i="63"/>
  <c r="F71" i="63"/>
  <c r="K71" i="63" s="1"/>
  <c r="J18" i="63"/>
  <c r="J35" i="63"/>
  <c r="J39" i="63" s="1"/>
  <c r="J61" i="23"/>
  <c r="K61" i="23" s="1"/>
  <c r="K59" i="23"/>
  <c r="O70" i="21"/>
  <c r="J70" i="21"/>
  <c r="F70" i="21"/>
  <c r="K70" i="21" s="1"/>
  <c r="I19" i="54"/>
  <c r="H52" i="64"/>
  <c r="F18" i="37"/>
  <c r="G51" i="47"/>
  <c r="F47" i="23"/>
  <c r="F66" i="21"/>
  <c r="K66" i="21" s="1"/>
  <c r="J66" i="21"/>
  <c r="Q66" i="21" s="1"/>
  <c r="O66" i="21"/>
  <c r="C73" i="21"/>
  <c r="D47" i="67"/>
  <c r="F49" i="67"/>
  <c r="F71" i="21"/>
  <c r="K71" i="21" s="1"/>
  <c r="J71" i="21"/>
  <c r="O71" i="21"/>
  <c r="D36" i="64"/>
  <c r="F9" i="66"/>
  <c r="D9" i="66" s="1"/>
  <c r="F26" i="37"/>
  <c r="D26" i="37" s="1"/>
  <c r="J8" i="37"/>
  <c r="O35" i="21"/>
  <c r="C39" i="21"/>
  <c r="F35" i="21"/>
  <c r="K35" i="21" s="1"/>
  <c r="K39" i="21" s="1"/>
  <c r="D44" i="54"/>
  <c r="C94" i="54"/>
  <c r="F94" i="54" s="1"/>
  <c r="H44" i="54"/>
  <c r="C45" i="54"/>
  <c r="D45" i="54" s="1"/>
  <c r="D7" i="64"/>
  <c r="F10" i="64"/>
  <c r="D60" i="54"/>
  <c r="H60" i="54"/>
  <c r="C61" i="54"/>
  <c r="D61" i="54" s="1"/>
  <c r="J60" i="21"/>
  <c r="Q56" i="21"/>
  <c r="B27" i="37"/>
  <c r="I25" i="54"/>
  <c r="F63" i="21"/>
  <c r="K63" i="21" s="1"/>
  <c r="C67" i="21"/>
  <c r="O67" i="21" s="1"/>
  <c r="O63" i="21"/>
  <c r="J63" i="21"/>
  <c r="K44" i="23"/>
  <c r="J47" i="23"/>
  <c r="C74" i="21" l="1"/>
  <c r="K67" i="21"/>
  <c r="K67" i="63"/>
  <c r="C74" i="63"/>
  <c r="J67" i="63"/>
  <c r="F10" i="70"/>
  <c r="D10" i="70" s="1"/>
  <c r="D49" i="67"/>
  <c r="K8" i="37"/>
  <c r="J26" i="37"/>
  <c r="K26" i="37" s="1"/>
  <c r="J73" i="21"/>
  <c r="O73" i="21"/>
  <c r="F73" i="21"/>
  <c r="K73" i="21" s="1"/>
  <c r="K74" i="21" s="1"/>
  <c r="D17" i="64"/>
  <c r="D27" i="64"/>
  <c r="L25" i="84"/>
  <c r="B25" i="84"/>
  <c r="F25" i="84" s="1"/>
  <c r="H56" i="54"/>
  <c r="I56" i="54" s="1"/>
  <c r="I55" i="54"/>
  <c r="J72" i="21"/>
  <c r="F72" i="21"/>
  <c r="K72" i="21" s="1"/>
  <c r="O72" i="21"/>
  <c r="L25" i="82"/>
  <c r="B25" i="82"/>
  <c r="J72" i="63"/>
  <c r="Q72" i="21" s="1"/>
  <c r="F72" i="63"/>
  <c r="K72" i="63" s="1"/>
  <c r="O39" i="21"/>
  <c r="I60" i="54"/>
  <c r="H61" i="54"/>
  <c r="I61" i="54" s="1"/>
  <c r="I44" i="54"/>
  <c r="H45" i="54"/>
  <c r="I45" i="54" s="1"/>
  <c r="C93" i="21"/>
  <c r="J18" i="37"/>
  <c r="Q71" i="21"/>
  <c r="H9" i="84"/>
  <c r="H9" i="82"/>
  <c r="F6" i="37"/>
  <c r="F12" i="37"/>
  <c r="K47" i="23"/>
  <c r="D8" i="54"/>
  <c r="C9" i="54"/>
  <c r="D9" i="54" s="1"/>
  <c r="C91" i="54"/>
  <c r="D40" i="23"/>
  <c r="H8" i="54"/>
  <c r="C14" i="54"/>
  <c r="D14" i="54" s="1"/>
  <c r="H13" i="54"/>
  <c r="D13" i="54"/>
  <c r="J73" i="63"/>
  <c r="F73" i="63"/>
  <c r="K73" i="63" s="1"/>
  <c r="K74" i="63" s="1"/>
  <c r="J67" i="21"/>
  <c r="Q63" i="21"/>
  <c r="Q60" i="21"/>
  <c r="O74" i="21"/>
  <c r="F6" i="66"/>
  <c r="D10" i="64"/>
  <c r="Q70" i="21"/>
  <c r="J74" i="21"/>
  <c r="I49" i="54"/>
  <c r="H50" i="54"/>
  <c r="I50" i="54" s="1"/>
  <c r="J74" i="63" l="1"/>
  <c r="J93" i="21"/>
  <c r="C93" i="63"/>
  <c r="F93" i="21"/>
  <c r="K93" i="21" s="1"/>
  <c r="C93" i="62"/>
  <c r="F17" i="64"/>
  <c r="Q67" i="21"/>
  <c r="I13" i="54"/>
  <c r="H14" i="54"/>
  <c r="Q73" i="21"/>
  <c r="C90" i="21"/>
  <c r="F24" i="37"/>
  <c r="D24" i="37" s="1"/>
  <c r="J6" i="37"/>
  <c r="D6" i="66"/>
  <c r="I8" i="54"/>
  <c r="H9" i="54"/>
  <c r="D46" i="23"/>
  <c r="K96" i="23"/>
  <c r="F40" i="23"/>
  <c r="J40" i="23"/>
  <c r="L96" i="23"/>
  <c r="L97" i="23" s="1"/>
  <c r="F91" i="54"/>
  <c r="C92" i="54"/>
  <c r="F92" i="54" s="1"/>
  <c r="Q74" i="21"/>
  <c r="J12" i="37"/>
  <c r="K18" i="37"/>
  <c r="F27" i="64"/>
  <c r="O93" i="21" l="1"/>
  <c r="K12" i="37"/>
  <c r="K10" i="47"/>
  <c r="J52" i="64"/>
  <c r="J93" i="62"/>
  <c r="F93" i="62"/>
  <c r="K93" i="62" s="1"/>
  <c r="C90" i="62"/>
  <c r="F90" i="21"/>
  <c r="K90" i="21" s="1"/>
  <c r="J90" i="21"/>
  <c r="C90" i="63"/>
  <c r="J24" i="37"/>
  <c r="K24" i="37" s="1"/>
  <c r="K6" i="37"/>
  <c r="J93" i="63"/>
  <c r="F93" i="63"/>
  <c r="K93" i="63" s="1"/>
  <c r="F46" i="23"/>
  <c r="D48" i="23"/>
  <c r="F48" i="23" s="1"/>
  <c r="K40" i="23"/>
  <c r="J46" i="23"/>
  <c r="I9" i="54"/>
  <c r="H34" i="71"/>
  <c r="C24" i="42"/>
  <c r="I14" i="54"/>
  <c r="H73" i="67"/>
  <c r="M96" i="23"/>
  <c r="K97" i="23"/>
  <c r="M97" i="23" s="1"/>
  <c r="D27" i="67"/>
  <c r="D17" i="67"/>
  <c r="O90" i="21" l="1"/>
  <c r="D19" i="71"/>
  <c r="D9" i="71"/>
  <c r="F27" i="67"/>
  <c r="J90" i="62"/>
  <c r="F90" i="62"/>
  <c r="K90" i="62" s="1"/>
  <c r="K46" i="23"/>
  <c r="J48" i="23"/>
  <c r="K48" i="23" s="1"/>
  <c r="J90" i="63"/>
  <c r="Q90" i="21" s="1"/>
  <c r="F90" i="63"/>
  <c r="K90" i="63" s="1"/>
  <c r="Q93" i="21"/>
  <c r="F17" i="67"/>
  <c r="K52" i="64"/>
  <c r="F9" i="71" l="1"/>
  <c r="H10" i="47"/>
  <c r="J73" i="67"/>
  <c r="F19" i="71"/>
  <c r="K73" i="67" l="1"/>
  <c r="J34" i="71"/>
  <c r="E10" i="47"/>
  <c r="K34" i="71" l="1"/>
  <c r="B87" i="32" l="1"/>
  <c r="B5" i="55" l="1"/>
  <c r="B76" i="32"/>
  <c r="B17" i="65" s="1"/>
  <c r="H17" i="65" s="1"/>
  <c r="L15" i="57"/>
  <c r="P21" i="84"/>
  <c r="P37" i="84" s="1"/>
  <c r="I15" i="57"/>
  <c r="F7" i="80"/>
  <c r="B25" i="76" l="1"/>
  <c r="B10" i="76"/>
  <c r="C7" i="76" s="1"/>
  <c r="B27" i="76"/>
  <c r="C9" i="76"/>
  <c r="P21" i="82"/>
  <c r="P37" i="82" s="1"/>
  <c r="M15" i="57"/>
  <c r="B19" i="76"/>
  <c r="C16" i="76" s="1"/>
  <c r="B22" i="23"/>
  <c r="B71" i="32"/>
  <c r="B19" i="69" s="1"/>
  <c r="H19" i="69" s="1"/>
  <c r="B26" i="76"/>
  <c r="C8" i="76"/>
  <c r="B82" i="32"/>
  <c r="B26" i="23"/>
  <c r="C17" i="76"/>
  <c r="H28" i="78"/>
  <c r="C18" i="76"/>
  <c r="H36" i="78"/>
  <c r="H7" i="80"/>
  <c r="B28" i="23" l="1"/>
  <c r="B107" i="23"/>
  <c r="B84" i="23"/>
  <c r="B90" i="23" s="1"/>
  <c r="C19" i="76"/>
  <c r="C26" i="76"/>
  <c r="D25" i="82"/>
  <c r="F25" i="82" s="1"/>
  <c r="D24" i="82"/>
  <c r="D21" i="82"/>
  <c r="D17" i="84"/>
  <c r="D17" i="82"/>
  <c r="D21" i="84"/>
  <c r="B35" i="32"/>
  <c r="F36" i="78"/>
  <c r="F28" i="78"/>
  <c r="D86" i="32"/>
  <c r="C87" i="32"/>
  <c r="D87" i="32" s="1"/>
  <c r="H86" i="32"/>
  <c r="D4" i="25"/>
  <c r="C10" i="76"/>
  <c r="B29" i="23"/>
  <c r="B88" i="23"/>
  <c r="B91" i="23" s="1"/>
  <c r="B92" i="23" s="1"/>
  <c r="B28" i="76"/>
  <c r="B15" i="77" s="1"/>
  <c r="C25" i="76"/>
  <c r="C76" i="32" l="1"/>
  <c r="D76" i="32" s="1"/>
  <c r="H75" i="32"/>
  <c r="D75" i="32"/>
  <c r="C109" i="32"/>
  <c r="F109" i="32" s="1"/>
  <c r="C107" i="32"/>
  <c r="F107" i="32" s="1"/>
  <c r="D22" i="23"/>
  <c r="D70" i="32"/>
  <c r="C71" i="32"/>
  <c r="D71" i="32" s="1"/>
  <c r="H70" i="32"/>
  <c r="J38" i="78"/>
  <c r="J30" i="78"/>
  <c r="F4" i="25"/>
  <c r="J4" i="25" s="1"/>
  <c r="B7" i="77" s="1"/>
  <c r="B19" i="32"/>
  <c r="B11" i="65" s="1"/>
  <c r="H11" i="65" s="1"/>
  <c r="B25" i="32"/>
  <c r="D6" i="25"/>
  <c r="J9" i="80" s="1"/>
  <c r="D26" i="23"/>
  <c r="H81" i="32"/>
  <c r="C82" i="32"/>
  <c r="D82" i="32" s="1"/>
  <c r="D81" i="32"/>
  <c r="I86" i="32"/>
  <c r="H87" i="32"/>
  <c r="I87" i="32" s="1"/>
  <c r="D37" i="82"/>
  <c r="F24" i="82"/>
  <c r="D24" i="84"/>
  <c r="F24" i="84" s="1"/>
  <c r="C27" i="76"/>
  <c r="C28" i="76" s="1"/>
  <c r="B30" i="23"/>
  <c r="B108" i="23" s="1"/>
  <c r="I51" i="47"/>
  <c r="L51" i="47" s="1"/>
  <c r="B25" i="77" s="1"/>
  <c r="D29" i="23" l="1"/>
  <c r="F26" i="23"/>
  <c r="J26" i="23"/>
  <c r="D88" i="23"/>
  <c r="F22" i="23"/>
  <c r="J22" i="23"/>
  <c r="D103" i="23"/>
  <c r="H103" i="23" s="1"/>
  <c r="D28" i="23"/>
  <c r="D84" i="23"/>
  <c r="B56" i="32"/>
  <c r="J31" i="78"/>
  <c r="J32" i="78" s="1"/>
  <c r="L30" i="78"/>
  <c r="D37" i="84"/>
  <c r="I81" i="32"/>
  <c r="H82" i="32"/>
  <c r="I82" i="32" s="1"/>
  <c r="J39" i="78"/>
  <c r="J40" i="78" s="1"/>
  <c r="L38" i="78"/>
  <c r="H76" i="32"/>
  <c r="I75" i="32"/>
  <c r="J11" i="80"/>
  <c r="J10" i="80"/>
  <c r="B61" i="32"/>
  <c r="I70" i="32"/>
  <c r="H71" i="32"/>
  <c r="F29" i="23" l="1"/>
  <c r="J29" i="23"/>
  <c r="I76" i="32"/>
  <c r="F17" i="65"/>
  <c r="D17" i="65" s="1"/>
  <c r="J17" i="65" s="1"/>
  <c r="D90" i="23"/>
  <c r="F84" i="23"/>
  <c r="J28" i="23"/>
  <c r="D30" i="23"/>
  <c r="F28" i="23"/>
  <c r="B9" i="32"/>
  <c r="I71" i="32"/>
  <c r="F19" i="69"/>
  <c r="D19" i="69" s="1"/>
  <c r="J19" i="69" s="1"/>
  <c r="K22" i="23"/>
  <c r="J84" i="23"/>
  <c r="F88" i="23"/>
  <c r="D91" i="23"/>
  <c r="F91" i="23" s="1"/>
  <c r="B45" i="32"/>
  <c r="B13" i="72" s="1"/>
  <c r="H13" i="72" s="1"/>
  <c r="K26" i="23"/>
  <c r="B21" i="84"/>
  <c r="B21" i="82"/>
  <c r="J88" i="23"/>
  <c r="L8" i="57" l="1"/>
  <c r="I8" i="57"/>
  <c r="P9" i="82"/>
  <c r="P36" i="82" s="1"/>
  <c r="F21" i="84"/>
  <c r="B37" i="84"/>
  <c r="K84" i="23"/>
  <c r="J90" i="23"/>
  <c r="F30" i="23"/>
  <c r="D104" i="23"/>
  <c r="H104" i="23" s="1"/>
  <c r="B30" i="32"/>
  <c r="I29" i="32"/>
  <c r="B13" i="23"/>
  <c r="B12" i="72"/>
  <c r="H12" i="72" s="1"/>
  <c r="N21" i="84"/>
  <c r="N21" i="82"/>
  <c r="K28" i="23"/>
  <c r="J30" i="23"/>
  <c r="K30" i="23" s="1"/>
  <c r="K88" i="23"/>
  <c r="J91" i="23"/>
  <c r="K91" i="23" s="1"/>
  <c r="F21" i="82"/>
  <c r="B37" i="82"/>
  <c r="F90" i="23"/>
  <c r="D92" i="23"/>
  <c r="K29" i="23"/>
  <c r="H51" i="47"/>
  <c r="C34" i="32"/>
  <c r="D18" i="32" l="1"/>
  <c r="C19" i="32"/>
  <c r="D19" i="32" s="1"/>
  <c r="H18" i="32"/>
  <c r="D30" i="32"/>
  <c r="I30" i="32"/>
  <c r="R21" i="82"/>
  <c r="H37" i="82"/>
  <c r="J51" i="47"/>
  <c r="K51" i="47"/>
  <c r="M51" i="47" s="1"/>
  <c r="R21" i="84"/>
  <c r="H37" i="84"/>
  <c r="B100" i="23"/>
  <c r="B16" i="23"/>
  <c r="I50" i="47" s="1"/>
  <c r="I53" i="47" s="1"/>
  <c r="B75" i="23"/>
  <c r="B78" i="23" s="1"/>
  <c r="K90" i="23"/>
  <c r="J92" i="23"/>
  <c r="K92" i="23" s="1"/>
  <c r="F92" i="23"/>
  <c r="C35" i="32"/>
  <c r="D35" i="32" s="1"/>
  <c r="H34" i="32"/>
  <c r="P9" i="84"/>
  <c r="P36" i="84" s="1"/>
  <c r="P31" i="84"/>
  <c r="P31" i="82"/>
  <c r="P32" i="84"/>
  <c r="P32" i="82"/>
  <c r="I18" i="32" l="1"/>
  <c r="H19" i="32"/>
  <c r="I34" i="32"/>
  <c r="H35" i="32"/>
  <c r="I35" i="32" s="1"/>
  <c r="P34" i="82"/>
  <c r="P34" i="84"/>
  <c r="B50" i="32"/>
  <c r="B13" i="69" s="1"/>
  <c r="H13" i="69" s="1"/>
  <c r="I19" i="32" l="1"/>
  <c r="H24" i="65"/>
  <c r="F11" i="65"/>
  <c r="H23" i="66"/>
  <c r="C24" i="32"/>
  <c r="B14" i="32" l="1"/>
  <c r="B9" i="23"/>
  <c r="C25" i="32"/>
  <c r="D25" i="32" s="1"/>
  <c r="C104" i="32"/>
  <c r="H24" i="32"/>
  <c r="D13" i="23"/>
  <c r="D11" i="65"/>
  <c r="J11" i="65" s="1"/>
  <c r="K24" i="47"/>
  <c r="K36" i="47" s="1"/>
  <c r="J24" i="65"/>
  <c r="F13" i="23" l="1"/>
  <c r="D16" i="23"/>
  <c r="J13" i="23"/>
  <c r="D75" i="23"/>
  <c r="K24" i="65"/>
  <c r="J23" i="66"/>
  <c r="K23" i="66" s="1"/>
  <c r="H25" i="32"/>
  <c r="I25" i="32" s="1"/>
  <c r="I24" i="32"/>
  <c r="B99" i="23"/>
  <c r="B15" i="23"/>
  <c r="B17" i="23" s="1"/>
  <c r="B71" i="23"/>
  <c r="B77" i="23" s="1"/>
  <c r="B79" i="23" s="1"/>
  <c r="L9" i="57"/>
  <c r="L10" i="57" s="1"/>
  <c r="I9" i="57"/>
  <c r="I10" i="57" s="1"/>
  <c r="H10" i="57"/>
  <c r="B12" i="69"/>
  <c r="H12" i="69" s="1"/>
  <c r="F16" i="23" l="1"/>
  <c r="K13" i="23"/>
  <c r="J16" i="23"/>
  <c r="B9" i="82"/>
  <c r="B36" i="82" s="1"/>
  <c r="B9" i="84"/>
  <c r="B36" i="84" s="1"/>
  <c r="J75" i="23"/>
  <c r="D78" i="23"/>
  <c r="F75" i="23"/>
  <c r="K75" i="23" l="1"/>
  <c r="J78" i="23"/>
  <c r="K16" i="23"/>
  <c r="H50" i="47"/>
  <c r="J50" i="47" s="1"/>
  <c r="N9" i="82"/>
  <c r="N9" i="84"/>
  <c r="F78" i="23"/>
  <c r="R9" i="82" l="1"/>
  <c r="R15" i="82" s="1"/>
  <c r="N31" i="82" s="1"/>
  <c r="R31" i="82" s="1"/>
  <c r="H36" i="82"/>
  <c r="J65" i="47"/>
  <c r="K78" i="23"/>
  <c r="F104" i="32"/>
  <c r="R9" i="84"/>
  <c r="R15" i="84" s="1"/>
  <c r="N31" i="84" s="1"/>
  <c r="R31" i="84" s="1"/>
  <c r="H36" i="84"/>
  <c r="D55" i="32" l="1"/>
  <c r="C56" i="32"/>
  <c r="D56" i="32" s="1"/>
  <c r="H55" i="32"/>
  <c r="H49" i="32"/>
  <c r="C50" i="32"/>
  <c r="D50" i="32" s="1"/>
  <c r="D49" i="32"/>
  <c r="D92" i="32"/>
  <c r="C61" i="32"/>
  <c r="D61" i="32" s="1"/>
  <c r="H60" i="32"/>
  <c r="D60" i="32"/>
  <c r="C45" i="32"/>
  <c r="D45" i="32" s="1"/>
  <c r="C94" i="32"/>
  <c r="F94" i="32" s="1"/>
  <c r="D44" i="32"/>
  <c r="H44" i="32"/>
  <c r="I60" i="32" l="1"/>
  <c r="H61" i="32"/>
  <c r="I61" i="32" s="1"/>
  <c r="H56" i="32"/>
  <c r="I56" i="32" s="1"/>
  <c r="I55" i="32"/>
  <c r="D13" i="32"/>
  <c r="C14" i="32"/>
  <c r="D14" i="32" s="1"/>
  <c r="H13" i="32"/>
  <c r="C91" i="32"/>
  <c r="D8" i="32"/>
  <c r="H8" i="32"/>
  <c r="D9" i="23"/>
  <c r="C9" i="32"/>
  <c r="D9" i="32" s="1"/>
  <c r="I44" i="32"/>
  <c r="H45" i="32"/>
  <c r="H50" i="32"/>
  <c r="I49" i="32"/>
  <c r="D96" i="23" l="1"/>
  <c r="J9" i="23"/>
  <c r="D15" i="23"/>
  <c r="F9" i="23"/>
  <c r="D71" i="23"/>
  <c r="I8" i="32"/>
  <c r="H9" i="32"/>
  <c r="I45" i="32"/>
  <c r="F13" i="72"/>
  <c r="D13" i="72" s="1"/>
  <c r="J13" i="72" s="1"/>
  <c r="F91" i="32"/>
  <c r="F96" i="23"/>
  <c r="F97" i="23" s="1"/>
  <c r="C92" i="32"/>
  <c r="F92" i="32" s="1"/>
  <c r="I50" i="32"/>
  <c r="F13" i="69"/>
  <c r="D13" i="69" s="1"/>
  <c r="J13" i="69" s="1"/>
  <c r="H14" i="32"/>
  <c r="I13" i="32"/>
  <c r="F12" i="69" l="1"/>
  <c r="I14" i="32"/>
  <c r="H34" i="69"/>
  <c r="H43" i="70"/>
  <c r="D77" i="23"/>
  <c r="F71" i="23"/>
  <c r="F15" i="23"/>
  <c r="D17" i="23"/>
  <c r="F17" i="23" s="1"/>
  <c r="K9" i="23"/>
  <c r="J15" i="23"/>
  <c r="J71" i="23"/>
  <c r="C23" i="42"/>
  <c r="F12" i="72"/>
  <c r="H29" i="72"/>
  <c r="I9" i="32"/>
  <c r="H39" i="73"/>
  <c r="D97" i="23"/>
  <c r="H97" i="23" s="1"/>
  <c r="H96" i="23"/>
  <c r="K15" i="23" l="1"/>
  <c r="J17" i="23"/>
  <c r="K17" i="23" s="1"/>
  <c r="D12" i="72"/>
  <c r="J12" i="72" s="1"/>
  <c r="J29" i="72"/>
  <c r="E24" i="47"/>
  <c r="E36" i="47" s="1"/>
  <c r="J34" i="69"/>
  <c r="D12" i="69"/>
  <c r="J12" i="69" s="1"/>
  <c r="H24" i="47"/>
  <c r="H36" i="47" s="1"/>
  <c r="J77" i="23"/>
  <c r="K71" i="23"/>
  <c r="F77" i="23"/>
  <c r="D79" i="23"/>
  <c r="B24" i="71"/>
  <c r="C22" i="42" l="1"/>
  <c r="F79" i="23"/>
  <c r="K34" i="69"/>
  <c r="J43" i="70"/>
  <c r="K43" i="70" s="1"/>
  <c r="O71" i="47"/>
  <c r="N71" i="47"/>
  <c r="K77" i="23"/>
  <c r="J79" i="23"/>
  <c r="K79" i="23" s="1"/>
  <c r="K29" i="72"/>
  <c r="J39" i="73"/>
  <c r="K39" i="73" s="1"/>
  <c r="B12" i="73"/>
  <c r="B23" i="64"/>
  <c r="B15" i="71" l="1"/>
  <c r="H25" i="50"/>
  <c r="G25" i="50"/>
  <c r="C10" i="49"/>
  <c r="H6" i="50"/>
  <c r="G6" i="50"/>
  <c r="B13" i="64"/>
  <c r="C6" i="49"/>
  <c r="G10" i="50"/>
  <c r="B14" i="64" s="1"/>
  <c r="H10" i="50"/>
  <c r="H4" i="50"/>
  <c r="G4" i="50"/>
  <c r="H21" i="50"/>
  <c r="G21" i="50"/>
  <c r="C4" i="49"/>
  <c r="G19" i="50"/>
  <c r="H19" i="50"/>
  <c r="C8" i="49"/>
  <c r="K25" i="75" l="1"/>
  <c r="E19" i="51"/>
  <c r="B17" i="71"/>
  <c r="B24" i="64"/>
  <c r="B15" i="64"/>
  <c r="E6" i="51"/>
  <c r="E25" i="75"/>
  <c r="G25" i="75" s="1"/>
  <c r="B26" i="64"/>
  <c r="E25" i="51"/>
  <c r="E21" i="51"/>
  <c r="B25" i="64"/>
  <c r="B5" i="71"/>
  <c r="B7" i="71"/>
  <c r="E4" i="51"/>
  <c r="C4" i="59" s="1"/>
  <c r="E10" i="75"/>
  <c r="B16" i="64"/>
  <c r="E10" i="51"/>
  <c r="C10" i="59" s="1"/>
  <c r="B18" i="64"/>
  <c r="B51" i="64"/>
  <c r="D14" i="64"/>
  <c r="H8" i="50"/>
  <c r="G8" i="50"/>
  <c r="B6" i="71" s="1"/>
  <c r="D6" i="71" l="1"/>
  <c r="B8" i="71"/>
  <c r="E8" i="51"/>
  <c r="E8" i="75"/>
  <c r="G23" i="50"/>
  <c r="B16" i="71" s="1"/>
  <c r="H23" i="50"/>
  <c r="D10" i="49"/>
  <c r="K10" i="48"/>
  <c r="L10" i="48" s="1"/>
  <c r="G10" i="48"/>
  <c r="B10" i="71"/>
  <c r="B32" i="71"/>
  <c r="K25" i="48"/>
  <c r="L25" i="48" s="1"/>
  <c r="G25" i="48"/>
  <c r="K19" i="51"/>
  <c r="G19" i="51"/>
  <c r="H26" i="64"/>
  <c r="G6" i="48"/>
  <c r="K6" i="48"/>
  <c r="D6" i="49"/>
  <c r="G25" i="51"/>
  <c r="K25" i="51"/>
  <c r="K19" i="48"/>
  <c r="G19" i="48"/>
  <c r="C6" i="59"/>
  <c r="D24" i="64"/>
  <c r="H24" i="64"/>
  <c r="J24" i="64" s="1"/>
  <c r="B52" i="64"/>
  <c r="L25" i="75"/>
  <c r="K21" i="48"/>
  <c r="G21" i="48"/>
  <c r="B7" i="66"/>
  <c r="B48" i="64"/>
  <c r="H16" i="64" s="1"/>
  <c r="H15" i="64"/>
  <c r="K4" i="48"/>
  <c r="D4" i="49"/>
  <c r="G4" i="48"/>
  <c r="G21" i="51"/>
  <c r="K21" i="51"/>
  <c r="E10" i="59"/>
  <c r="L10" i="59" s="1"/>
  <c r="G10" i="75"/>
  <c r="K10" i="75"/>
  <c r="L10" i="75" s="1"/>
  <c r="B11" i="66" l="1"/>
  <c r="L6" i="48"/>
  <c r="F13" i="64"/>
  <c r="G8" i="48"/>
  <c r="D8" i="49"/>
  <c r="K8" i="48"/>
  <c r="L8" i="48" s="1"/>
  <c r="K6" i="51"/>
  <c r="G6" i="51"/>
  <c r="D6" i="59"/>
  <c r="H25" i="64"/>
  <c r="B23" i="71"/>
  <c r="B6" i="73"/>
  <c r="B29" i="71"/>
  <c r="L21" i="51"/>
  <c r="F25" i="64"/>
  <c r="D25" i="64" s="1"/>
  <c r="L19" i="48"/>
  <c r="L21" i="48"/>
  <c r="F23" i="64"/>
  <c r="D23" i="64" s="1"/>
  <c r="I10" i="49"/>
  <c r="J10" i="49" s="1"/>
  <c r="E10" i="49"/>
  <c r="E4" i="49"/>
  <c r="I4" i="49"/>
  <c r="L4" i="48"/>
  <c r="F5" i="71"/>
  <c r="F26" i="64"/>
  <c r="D26" i="64" s="1"/>
  <c r="J26" i="64" s="1"/>
  <c r="L25" i="51"/>
  <c r="F17" i="71"/>
  <c r="D17" i="71" s="1"/>
  <c r="L19" i="51"/>
  <c r="B18" i="71"/>
  <c r="E23" i="51"/>
  <c r="E23" i="75"/>
  <c r="D16" i="71"/>
  <c r="H16" i="71"/>
  <c r="B33" i="71"/>
  <c r="C8" i="59"/>
  <c r="K23" i="48"/>
  <c r="L23" i="48" s="1"/>
  <c r="G23" i="48"/>
  <c r="G10" i="51"/>
  <c r="K10" i="51"/>
  <c r="D10" i="59"/>
  <c r="H34" i="64"/>
  <c r="J34" i="64" s="1"/>
  <c r="H42" i="64"/>
  <c r="J42" i="64" s="1"/>
  <c r="H43" i="64"/>
  <c r="J43" i="64" s="1"/>
  <c r="H5" i="64"/>
  <c r="J5" i="64" s="1"/>
  <c r="H45" i="64"/>
  <c r="J45" i="64" s="1"/>
  <c r="B55" i="64"/>
  <c r="H40" i="64"/>
  <c r="J40" i="64" s="1"/>
  <c r="H8" i="64"/>
  <c r="J8" i="64" s="1"/>
  <c r="H21" i="64"/>
  <c r="H17" i="64"/>
  <c r="J17" i="64" s="1"/>
  <c r="H33" i="64"/>
  <c r="J33" i="64" s="1"/>
  <c r="H9" i="64"/>
  <c r="J9" i="64" s="1"/>
  <c r="H22" i="64"/>
  <c r="J22" i="64" s="1"/>
  <c r="H6" i="64"/>
  <c r="J6" i="64" s="1"/>
  <c r="L15" i="47"/>
  <c r="H35" i="64"/>
  <c r="J35" i="64" s="1"/>
  <c r="H32" i="64"/>
  <c r="J32" i="64" s="1"/>
  <c r="H39" i="64"/>
  <c r="H7" i="64"/>
  <c r="J7" i="64" s="1"/>
  <c r="J10" i="64" s="1"/>
  <c r="H31" i="64"/>
  <c r="J31" i="64" s="1"/>
  <c r="H41" i="64"/>
  <c r="J41" i="64" s="1"/>
  <c r="H44" i="64"/>
  <c r="J44" i="64" s="1"/>
  <c r="H27" i="64"/>
  <c r="J27" i="64" s="1"/>
  <c r="H23" i="64"/>
  <c r="H13" i="64"/>
  <c r="H14" i="64"/>
  <c r="J14" i="64" s="1"/>
  <c r="I6" i="49"/>
  <c r="E6" i="49"/>
  <c r="G4" i="51"/>
  <c r="K4" i="51"/>
  <c r="D4" i="59"/>
  <c r="H8" i="71"/>
  <c r="J16" i="71" l="1"/>
  <c r="H18" i="71"/>
  <c r="H9" i="71"/>
  <c r="J9" i="71" s="1"/>
  <c r="H19" i="71"/>
  <c r="J19" i="71" s="1"/>
  <c r="F15" i="47"/>
  <c r="B34" i="71"/>
  <c r="H13" i="71"/>
  <c r="H14" i="71"/>
  <c r="J14" i="71" s="1"/>
  <c r="H24" i="71"/>
  <c r="H15" i="71"/>
  <c r="H6" i="71"/>
  <c r="J6" i="71" s="1"/>
  <c r="H5" i="71"/>
  <c r="H17" i="71"/>
  <c r="J17" i="71" s="1"/>
  <c r="H7" i="71"/>
  <c r="J36" i="64"/>
  <c r="B8" i="73"/>
  <c r="F6" i="59"/>
  <c r="G6" i="59" s="1"/>
  <c r="K6" i="59"/>
  <c r="D13" i="64"/>
  <c r="J13" i="64" s="1"/>
  <c r="K11" i="47"/>
  <c r="K37" i="47" s="1"/>
  <c r="J53" i="64"/>
  <c r="J24" i="66" s="1"/>
  <c r="K10" i="59"/>
  <c r="M10" i="59" s="1"/>
  <c r="N10" i="59" s="1"/>
  <c r="F10" i="59"/>
  <c r="G10" i="59" s="1"/>
  <c r="B11" i="73"/>
  <c r="B27" i="71"/>
  <c r="H23" i="71"/>
  <c r="B6" i="74"/>
  <c r="I8" i="49"/>
  <c r="J8" i="49" s="1"/>
  <c r="E8" i="49"/>
  <c r="F7" i="71"/>
  <c r="L4" i="51"/>
  <c r="L63" i="47"/>
  <c r="L41" i="47"/>
  <c r="F16" i="64"/>
  <c r="D16" i="64" s="1"/>
  <c r="J16" i="64" s="1"/>
  <c r="L10" i="51"/>
  <c r="J4" i="49"/>
  <c r="H35" i="71"/>
  <c r="H40" i="73"/>
  <c r="J25" i="64"/>
  <c r="F15" i="64"/>
  <c r="F18" i="64" s="1"/>
  <c r="L6" i="51"/>
  <c r="K4" i="59"/>
  <c r="F4" i="59"/>
  <c r="G4" i="59" s="1"/>
  <c r="F15" i="71"/>
  <c r="D15" i="71" s="1"/>
  <c r="J15" i="71" s="1"/>
  <c r="J6" i="49"/>
  <c r="H24" i="66"/>
  <c r="K24" i="66" s="1"/>
  <c r="H53" i="64"/>
  <c r="K53" i="64" s="1"/>
  <c r="E11" i="47"/>
  <c r="E37" i="47" s="1"/>
  <c r="D5" i="71"/>
  <c r="J5" i="71" s="1"/>
  <c r="J35" i="71"/>
  <c r="J40" i="73" s="1"/>
  <c r="J23" i="64"/>
  <c r="B19" i="66"/>
  <c r="H11" i="66" s="1"/>
  <c r="D18" i="64" l="1"/>
  <c r="F7" i="66"/>
  <c r="D7" i="66" s="1"/>
  <c r="K35" i="71"/>
  <c r="D7" i="71"/>
  <c r="J7" i="71" s="1"/>
  <c r="F41" i="47"/>
  <c r="F63" i="47"/>
  <c r="B13" i="67"/>
  <c r="C27" i="57"/>
  <c r="B8" i="74"/>
  <c r="F6" i="74"/>
  <c r="F8" i="74" s="1"/>
  <c r="B38" i="74"/>
  <c r="M6" i="59"/>
  <c r="N6" i="59" s="1"/>
  <c r="H54" i="64"/>
  <c r="H25" i="66"/>
  <c r="D8" i="59"/>
  <c r="G8" i="51"/>
  <c r="K8" i="51"/>
  <c r="M4" i="59"/>
  <c r="N4" i="59" s="1"/>
  <c r="B15" i="73"/>
  <c r="B17" i="73"/>
  <c r="G8" i="75"/>
  <c r="K8" i="75"/>
  <c r="E8" i="59"/>
  <c r="B23" i="67"/>
  <c r="H17" i="66"/>
  <c r="H10" i="66"/>
  <c r="H16" i="66"/>
  <c r="H6" i="66"/>
  <c r="J6" i="66" s="1"/>
  <c r="H9" i="66"/>
  <c r="J9" i="66" s="1"/>
  <c r="H8" i="66"/>
  <c r="H14" i="66"/>
  <c r="H15" i="66"/>
  <c r="H7" i="66"/>
  <c r="D15" i="64"/>
  <c r="J15" i="64" s="1"/>
  <c r="J18" i="64" s="1"/>
  <c r="J54" i="64"/>
  <c r="J25" i="66" s="1"/>
  <c r="K12" i="47"/>
  <c r="K38" i="47" s="1"/>
  <c r="K40" i="73"/>
  <c r="K9" i="57"/>
  <c r="M9" i="57" s="1"/>
  <c r="C9" i="49" l="1"/>
  <c r="F50" i="47" s="1"/>
  <c r="L8" i="59"/>
  <c r="L8" i="75"/>
  <c r="F8" i="71"/>
  <c r="L8" i="51"/>
  <c r="K23" i="51"/>
  <c r="G23" i="51"/>
  <c r="B18" i="67"/>
  <c r="B7" i="70" s="1"/>
  <c r="K8" i="57"/>
  <c r="B10" i="57"/>
  <c r="G23" i="75"/>
  <c r="K23" i="75"/>
  <c r="F8" i="59"/>
  <c r="G8" i="59" s="1"/>
  <c r="K8" i="59"/>
  <c r="B34" i="73"/>
  <c r="H17" i="73"/>
  <c r="H20" i="50"/>
  <c r="G20" i="50"/>
  <c r="D8" i="74"/>
  <c r="H37" i="71"/>
  <c r="K25" i="66"/>
  <c r="J7" i="66"/>
  <c r="K54" i="64"/>
  <c r="J32" i="82" l="1"/>
  <c r="M8" i="57"/>
  <c r="J31" i="84"/>
  <c r="J31" i="82"/>
  <c r="K10" i="57"/>
  <c r="J32" i="84"/>
  <c r="F18" i="71"/>
  <c r="D18" i="71" s="1"/>
  <c r="J18" i="71" s="1"/>
  <c r="L23" i="51"/>
  <c r="D23" i="71"/>
  <c r="C26" i="57"/>
  <c r="J9" i="84"/>
  <c r="J9" i="82"/>
  <c r="C10" i="57"/>
  <c r="D9" i="82"/>
  <c r="D9" i="84"/>
  <c r="G5" i="50"/>
  <c r="H5" i="50"/>
  <c r="H9" i="50"/>
  <c r="G9" i="50"/>
  <c r="B25" i="67"/>
  <c r="E20" i="51"/>
  <c r="H15" i="73"/>
  <c r="H21" i="73"/>
  <c r="H25" i="73"/>
  <c r="H22" i="73"/>
  <c r="H30" i="73"/>
  <c r="H20" i="73"/>
  <c r="H32" i="73"/>
  <c r="H7" i="73"/>
  <c r="H12" i="73"/>
  <c r="J12" i="73" s="1"/>
  <c r="H6" i="73"/>
  <c r="H11" i="73"/>
  <c r="H8" i="73"/>
  <c r="D8" i="71"/>
  <c r="J8" i="71" s="1"/>
  <c r="J10" i="71" s="1"/>
  <c r="F10" i="71"/>
  <c r="J36" i="71"/>
  <c r="J41" i="73" s="1"/>
  <c r="E12" i="47"/>
  <c r="E38" i="47" s="1"/>
  <c r="M8" i="59"/>
  <c r="N8" i="59" s="1"/>
  <c r="H41" i="73"/>
  <c r="H36" i="71"/>
  <c r="K36" i="71" s="1"/>
  <c r="G24" i="50"/>
  <c r="B24" i="67" s="1"/>
  <c r="H24" i="50"/>
  <c r="L23" i="75"/>
  <c r="L50" i="47"/>
  <c r="F53" i="47"/>
  <c r="F9" i="84" l="1"/>
  <c r="B26" i="77"/>
  <c r="L53" i="47"/>
  <c r="E9" i="75"/>
  <c r="B16" i="67"/>
  <c r="E9" i="51"/>
  <c r="K20" i="51"/>
  <c r="G20" i="51"/>
  <c r="F9" i="82"/>
  <c r="B26" i="67"/>
  <c r="B73" i="67" s="1"/>
  <c r="E24" i="75"/>
  <c r="E24" i="51"/>
  <c r="D24" i="67"/>
  <c r="D10" i="71"/>
  <c r="F6" i="73"/>
  <c r="D6" i="73" s="1"/>
  <c r="J6" i="73" s="1"/>
  <c r="B15" i="67"/>
  <c r="E5" i="51"/>
  <c r="L9" i="82"/>
  <c r="K41" i="73"/>
  <c r="B14" i="67"/>
  <c r="L9" i="84"/>
  <c r="K20" i="48"/>
  <c r="G20" i="48"/>
  <c r="J34" i="82"/>
  <c r="J23" i="71"/>
  <c r="F23" i="71"/>
  <c r="J34" i="84"/>
  <c r="K9" i="48"/>
  <c r="L9" i="48" s="1"/>
  <c r="D9" i="49"/>
  <c r="G9" i="48"/>
  <c r="K24" i="48"/>
  <c r="L24" i="48" s="1"/>
  <c r="G24" i="48"/>
  <c r="D32" i="84"/>
  <c r="M10" i="57"/>
  <c r="D32" i="82"/>
  <c r="D31" i="82"/>
  <c r="D31" i="84"/>
  <c r="G5" i="48"/>
  <c r="K5" i="48"/>
  <c r="D34" i="82" l="1"/>
  <c r="D34" i="84"/>
  <c r="I9" i="49"/>
  <c r="J9" i="49" s="1"/>
  <c r="E9" i="49"/>
  <c r="L20" i="51"/>
  <c r="F25" i="67"/>
  <c r="D25" i="67" s="1"/>
  <c r="E49" i="75"/>
  <c r="E17" i="75"/>
  <c r="D14" i="67"/>
  <c r="B72" i="67"/>
  <c r="E10" i="57"/>
  <c r="J13" i="82"/>
  <c r="D13" i="82"/>
  <c r="D12" i="82"/>
  <c r="J12" i="82"/>
  <c r="D10" i="57"/>
  <c r="J37" i="71"/>
  <c r="K37" i="71" s="1"/>
  <c r="E13" i="47"/>
  <c r="F11" i="73"/>
  <c r="D11" i="73" s="1"/>
  <c r="J11" i="73" s="1"/>
  <c r="E32" i="75"/>
  <c r="E53" i="75" s="1"/>
  <c r="F13" i="67"/>
  <c r="L5" i="48"/>
  <c r="L20" i="48"/>
  <c r="F23" i="67"/>
  <c r="D23" i="67" s="1"/>
  <c r="C9" i="59"/>
  <c r="E49" i="51"/>
  <c r="F12" i="82" l="1"/>
  <c r="D12" i="84"/>
  <c r="D36" i="82"/>
  <c r="K5" i="51"/>
  <c r="G5" i="51"/>
  <c r="D13" i="67"/>
  <c r="E52" i="75"/>
  <c r="E40" i="75"/>
  <c r="E47" i="75" s="1"/>
  <c r="J12" i="84"/>
  <c r="L12" i="82"/>
  <c r="J36" i="82"/>
  <c r="L12" i="84" l="1"/>
  <c r="J36" i="84"/>
  <c r="F15" i="67"/>
  <c r="L5" i="51"/>
  <c r="K24" i="51"/>
  <c r="G24" i="51"/>
  <c r="K24" i="75"/>
  <c r="G24" i="75"/>
  <c r="F32" i="75"/>
  <c r="G9" i="75"/>
  <c r="K9" i="75"/>
  <c r="E9" i="59"/>
  <c r="F49" i="75"/>
  <c r="F17" i="75"/>
  <c r="G9" i="51"/>
  <c r="K9" i="51"/>
  <c r="D9" i="59"/>
  <c r="F49" i="51"/>
  <c r="F12" i="84"/>
  <c r="D36" i="84"/>
  <c r="C47" i="42" s="1"/>
  <c r="F16" i="67" l="1"/>
  <c r="D16" i="67" s="1"/>
  <c r="L9" i="51"/>
  <c r="G49" i="75"/>
  <c r="K49" i="75"/>
  <c r="L49" i="75" s="1"/>
  <c r="L9" i="59"/>
  <c r="E14" i="59"/>
  <c r="E18" i="59" s="1"/>
  <c r="D15" i="67"/>
  <c r="L9" i="75"/>
  <c r="K17" i="75"/>
  <c r="G49" i="51"/>
  <c r="K49" i="51"/>
  <c r="L49" i="51" s="1"/>
  <c r="K9" i="59"/>
  <c r="M9" i="59" s="1"/>
  <c r="N9" i="59" s="1"/>
  <c r="F9" i="59"/>
  <c r="G9" i="59" s="1"/>
  <c r="F26" i="67"/>
  <c r="D26" i="67" s="1"/>
  <c r="L24" i="51"/>
  <c r="G32" i="75"/>
  <c r="G17" i="75"/>
  <c r="F40" i="75"/>
  <c r="L24" i="75"/>
  <c r="K32" i="75"/>
  <c r="L32" i="75" s="1"/>
  <c r="G40" i="75" l="1"/>
  <c r="F47" i="75"/>
  <c r="E20" i="59"/>
  <c r="F18" i="67"/>
  <c r="L14" i="59"/>
  <c r="L18" i="59" s="1"/>
  <c r="E50" i="47"/>
  <c r="H13" i="84"/>
  <c r="H13" i="82"/>
  <c r="K40" i="75"/>
  <c r="L17" i="75"/>
  <c r="L13" i="82" l="1"/>
  <c r="L15" i="82" s="1"/>
  <c r="H31" i="82" s="1"/>
  <c r="L31" i="82" s="1"/>
  <c r="B13" i="82"/>
  <c r="F13" i="82" s="1"/>
  <c r="F15" i="82" s="1"/>
  <c r="L13" i="84"/>
  <c r="L15" i="84" s="1"/>
  <c r="H31" i="84" s="1"/>
  <c r="L31" i="84" s="1"/>
  <c r="B13" i="84"/>
  <c r="F13" i="84" s="1"/>
  <c r="F15" i="84" s="1"/>
  <c r="B31" i="84" s="1"/>
  <c r="F31" i="84" s="1"/>
  <c r="G50" i="47"/>
  <c r="I65" i="47" s="1"/>
  <c r="K50" i="47"/>
  <c r="M50" i="47" s="1"/>
  <c r="E53" i="47"/>
  <c r="G53" i="47" s="1"/>
  <c r="L20" i="59"/>
  <c r="F7" i="70"/>
  <c r="D7" i="70" s="1"/>
  <c r="D18" i="67"/>
  <c r="L40" i="75"/>
  <c r="K47" i="75"/>
  <c r="G47" i="75"/>
  <c r="K65" i="47" l="1"/>
  <c r="B31" i="82"/>
  <c r="F31" i="82" s="1"/>
  <c r="F36" i="82"/>
  <c r="L47" i="75"/>
  <c r="L52" i="75" s="1"/>
  <c r="K52" i="75"/>
  <c r="C30" i="42" s="1"/>
  <c r="B6" i="55" l="1"/>
  <c r="B21" i="77"/>
  <c r="B25" i="29"/>
  <c r="I52" i="47"/>
  <c r="L52" i="47" s="1"/>
  <c r="F8" i="80" l="1"/>
  <c r="H8" i="80"/>
  <c r="C6" i="55"/>
  <c r="C7" i="55" s="1"/>
  <c r="B7" i="55"/>
  <c r="C5" i="55" s="1"/>
  <c r="C18" i="29"/>
  <c r="I18" i="29"/>
  <c r="B20" i="29"/>
  <c r="I27" i="22"/>
  <c r="J27" i="22" s="1"/>
  <c r="E27" i="22"/>
  <c r="J8" i="80" l="1"/>
  <c r="L8" i="80" s="1"/>
  <c r="B29" i="81" s="1"/>
  <c r="H9" i="80"/>
  <c r="J7" i="80"/>
  <c r="L7" i="80" s="1"/>
  <c r="B28" i="81" s="1"/>
  <c r="I57" i="47"/>
  <c r="L57" i="47" s="1"/>
  <c r="J15" i="33"/>
  <c r="L12" i="57"/>
  <c r="H10" i="80" l="1"/>
  <c r="H11" i="80" s="1"/>
  <c r="E28" i="22"/>
  <c r="I28" i="22"/>
  <c r="J28" i="22" s="1"/>
  <c r="H19" i="29"/>
  <c r="C19" i="29"/>
  <c r="D20" i="29"/>
  <c r="C20" i="29" s="1"/>
  <c r="F6" i="33"/>
  <c r="F7" i="68"/>
  <c r="D32" i="27"/>
  <c r="B21" i="72"/>
  <c r="F7" i="33"/>
  <c r="J7" i="33" s="1"/>
  <c r="D30" i="22"/>
  <c r="E27" i="76" l="1"/>
  <c r="H9" i="76"/>
  <c r="E25" i="76"/>
  <c r="E10" i="76"/>
  <c r="F7" i="76" s="1"/>
  <c r="H7" i="76"/>
  <c r="E26" i="76"/>
  <c r="F8" i="76"/>
  <c r="H8" i="76"/>
  <c r="H37" i="78"/>
  <c r="F18" i="76"/>
  <c r="H18" i="76"/>
  <c r="H29" i="78"/>
  <c r="H17" i="76"/>
  <c r="E19" i="76"/>
  <c r="F17" i="76" s="1"/>
  <c r="F16" i="76"/>
  <c r="H16" i="76"/>
  <c r="B30" i="22"/>
  <c r="J6" i="33"/>
  <c r="F13" i="33"/>
  <c r="F14" i="33"/>
  <c r="J14" i="33" s="1"/>
  <c r="B26" i="71"/>
  <c r="E26" i="22"/>
  <c r="I26" i="22"/>
  <c r="F16" i="68"/>
  <c r="C24" i="29"/>
  <c r="H24" i="29"/>
  <c r="I24" i="29" s="1"/>
  <c r="B29" i="73"/>
  <c r="H29" i="73" s="1"/>
  <c r="H21" i="72"/>
  <c r="D7" i="68"/>
  <c r="B19" i="72" s="1"/>
  <c r="I19" i="29"/>
  <c r="H20" i="29"/>
  <c r="I20" i="29" s="1"/>
  <c r="H17" i="57"/>
  <c r="L16" i="57"/>
  <c r="L17" i="57" s="1"/>
  <c r="L24" i="57" s="1"/>
  <c r="B25" i="71"/>
  <c r="H23" i="29"/>
  <c r="D25" i="29"/>
  <c r="C25" i="29" s="1"/>
  <c r="C23" i="29"/>
  <c r="J37" i="78" l="1"/>
  <c r="H61" i="78"/>
  <c r="J36" i="78"/>
  <c r="L36" i="78" s="1"/>
  <c r="H38" i="78"/>
  <c r="H39" i="78" s="1"/>
  <c r="H40" i="78" s="1"/>
  <c r="H6" i="78"/>
  <c r="H10" i="76"/>
  <c r="I7" i="76" s="1"/>
  <c r="H19" i="78"/>
  <c r="F10" i="76"/>
  <c r="F26" i="76"/>
  <c r="H26" i="76"/>
  <c r="E28" i="76"/>
  <c r="B16" i="77" s="1"/>
  <c r="F25" i="76"/>
  <c r="H25" i="76"/>
  <c r="H13" i="78"/>
  <c r="H19" i="76"/>
  <c r="I16" i="76" s="1"/>
  <c r="H43" i="78"/>
  <c r="I56" i="47" s="1"/>
  <c r="I58" i="47" s="1"/>
  <c r="I17" i="76"/>
  <c r="F9" i="76"/>
  <c r="F19" i="76"/>
  <c r="J29" i="78"/>
  <c r="H53" i="78"/>
  <c r="H30" i="78"/>
  <c r="H31" i="78" s="1"/>
  <c r="H32" i="78" s="1"/>
  <c r="J28" i="78"/>
  <c r="L28" i="78" s="1"/>
  <c r="F27" i="76"/>
  <c r="H27" i="76"/>
  <c r="F17" i="33"/>
  <c r="C39" i="42" s="1"/>
  <c r="H24" i="57"/>
  <c r="B14" i="73"/>
  <c r="H14" i="73" s="1"/>
  <c r="J14" i="73" s="1"/>
  <c r="H26" i="71"/>
  <c r="J17" i="33"/>
  <c r="D21" i="72" s="1"/>
  <c r="J21" i="72" s="1"/>
  <c r="J26" i="22"/>
  <c r="H52" i="47"/>
  <c r="H71" i="47"/>
  <c r="N17" i="82"/>
  <c r="N17" i="84"/>
  <c r="B13" i="73"/>
  <c r="H13" i="73" s="1"/>
  <c r="J13" i="73" s="1"/>
  <c r="J15" i="73" s="1"/>
  <c r="H25" i="71"/>
  <c r="H25" i="29"/>
  <c r="I25" i="29" s="1"/>
  <c r="I23" i="29"/>
  <c r="F15" i="68"/>
  <c r="D33" i="27"/>
  <c r="B27" i="73"/>
  <c r="H27" i="73" s="1"/>
  <c r="H19" i="72"/>
  <c r="I9" i="76" l="1"/>
  <c r="N17" i="78" s="1"/>
  <c r="I8" i="76"/>
  <c r="H60" i="78"/>
  <c r="B60" i="78" s="1"/>
  <c r="H14" i="78"/>
  <c r="J13" i="78"/>
  <c r="L13" i="78" s="1"/>
  <c r="H7" i="78"/>
  <c r="J6" i="78"/>
  <c r="L6" i="78" s="1"/>
  <c r="H52" i="78"/>
  <c r="F52" i="78"/>
  <c r="F56" i="47"/>
  <c r="H28" i="76"/>
  <c r="I25" i="76" s="1"/>
  <c r="F28" i="76"/>
  <c r="B17" i="77"/>
  <c r="B23" i="77" s="1"/>
  <c r="J19" i="78"/>
  <c r="H67" i="78"/>
  <c r="I18" i="76"/>
  <c r="N41" i="78" s="1"/>
  <c r="N33" i="78"/>
  <c r="N19" i="78"/>
  <c r="P19" i="78" s="1"/>
  <c r="I10" i="76"/>
  <c r="J53" i="78"/>
  <c r="J43" i="78"/>
  <c r="N43" i="78"/>
  <c r="P43" i="78" s="1"/>
  <c r="J52" i="47"/>
  <c r="H53" i="47"/>
  <c r="J53" i="47" s="1"/>
  <c r="K52" i="47"/>
  <c r="F8" i="68"/>
  <c r="D8" i="68" s="1"/>
  <c r="B20" i="72" s="1"/>
  <c r="F6" i="68"/>
  <c r="D6" i="68" s="1"/>
  <c r="B18" i="72" s="1"/>
  <c r="F21" i="72"/>
  <c r="F29" i="73" s="1"/>
  <c r="D29" i="73" s="1"/>
  <c r="J29" i="73" s="1"/>
  <c r="B17" i="84"/>
  <c r="F17" i="84" s="1"/>
  <c r="F27" i="84" s="1"/>
  <c r="B32" i="84" s="1"/>
  <c r="F32" i="84" s="1"/>
  <c r="F34" i="84" s="1"/>
  <c r="R17" i="84"/>
  <c r="R27" i="84" s="1"/>
  <c r="N32" i="84" s="1"/>
  <c r="R32" i="84" s="1"/>
  <c r="R34" i="84" s="1"/>
  <c r="I24" i="22"/>
  <c r="E24" i="22"/>
  <c r="B17" i="82"/>
  <c r="F17" i="82" s="1"/>
  <c r="F27" i="82" s="1"/>
  <c r="R17" i="82"/>
  <c r="R27" i="82" s="1"/>
  <c r="N32" i="82" s="1"/>
  <c r="R32" i="82" s="1"/>
  <c r="R34" i="82" s="1"/>
  <c r="R38" i="82" s="1"/>
  <c r="B52" i="78" l="1"/>
  <c r="J52" i="78"/>
  <c r="L52" i="78" s="1"/>
  <c r="B8" i="81" s="1"/>
  <c r="B53" i="78"/>
  <c r="F29" i="78"/>
  <c r="I19" i="76"/>
  <c r="B61" i="78"/>
  <c r="F37" i="78"/>
  <c r="H8" i="78"/>
  <c r="J7" i="78"/>
  <c r="L7" i="78" s="1"/>
  <c r="H54" i="78"/>
  <c r="J54" i="78" s="1"/>
  <c r="I26" i="76"/>
  <c r="L56" i="47"/>
  <c r="L58" i="47" s="1"/>
  <c r="F58" i="47"/>
  <c r="J14" i="78"/>
  <c r="L14" i="78" s="1"/>
  <c r="H15" i="78"/>
  <c r="H62" i="78"/>
  <c r="J62" i="78" s="1"/>
  <c r="B62" i="78"/>
  <c r="N10" i="78"/>
  <c r="B11" i="77"/>
  <c r="N67" i="78"/>
  <c r="P67" i="78" s="1"/>
  <c r="I28" i="76"/>
  <c r="F60" i="78"/>
  <c r="J60" i="78"/>
  <c r="J61" i="78"/>
  <c r="I27" i="76"/>
  <c r="B32" i="82"/>
  <c r="F32" i="82" s="1"/>
  <c r="F34" i="82" s="1"/>
  <c r="F37" i="82"/>
  <c r="J24" i="22"/>
  <c r="B28" i="73"/>
  <c r="H28" i="73" s="1"/>
  <c r="H20" i="72"/>
  <c r="B26" i="73"/>
  <c r="H26" i="73" s="1"/>
  <c r="H18" i="72"/>
  <c r="M65" i="47"/>
  <c r="N65" i="47"/>
  <c r="K53" i="47"/>
  <c r="M52" i="47"/>
  <c r="L60" i="78" l="1"/>
  <c r="B16" i="81" s="1"/>
  <c r="B54" i="78"/>
  <c r="F53" i="78"/>
  <c r="L53" i="78" s="1"/>
  <c r="B9" i="81" s="1"/>
  <c r="L29" i="78"/>
  <c r="H63" i="78"/>
  <c r="J63" i="78" s="1"/>
  <c r="H16" i="78"/>
  <c r="J15" i="78"/>
  <c r="F61" i="78"/>
  <c r="L61" i="78" s="1"/>
  <c r="B17" i="81" s="1"/>
  <c r="L37" i="78"/>
  <c r="B12" i="77"/>
  <c r="D13" i="81" s="1"/>
  <c r="N57" i="78"/>
  <c r="H9" i="78"/>
  <c r="H55" i="78"/>
  <c r="J55" i="78" s="1"/>
  <c r="J8" i="78"/>
  <c r="B13" i="77"/>
  <c r="D21" i="81" s="1"/>
  <c r="N65" i="78"/>
  <c r="F62" i="78"/>
  <c r="L62" i="78" s="1"/>
  <c r="B18" i="81" s="1"/>
  <c r="F54" i="78"/>
  <c r="L54" i="78" s="1"/>
  <c r="B10" i="81" s="1"/>
  <c r="I71" i="47"/>
  <c r="J71" i="47" s="1"/>
  <c r="M53" i="47"/>
  <c r="F38" i="82" s="1"/>
  <c r="I25" i="22"/>
  <c r="E25" i="22"/>
  <c r="C30" i="22"/>
  <c r="F14" i="68"/>
  <c r="H56" i="78" l="1"/>
  <c r="J56" i="78" s="1"/>
  <c r="J9" i="78"/>
  <c r="D23" i="81"/>
  <c r="D25" i="81" s="1"/>
  <c r="H64" i="78"/>
  <c r="J64" i="78" s="1"/>
  <c r="J16" i="78"/>
  <c r="F39" i="78"/>
  <c r="L39" i="78" s="1"/>
  <c r="F31" i="78"/>
  <c r="L31" i="78" s="1"/>
  <c r="J25" i="22"/>
  <c r="I30" i="22"/>
  <c r="J30" i="22" s="1"/>
  <c r="C9" i="27"/>
  <c r="F11" i="80"/>
  <c r="L11" i="80" s="1"/>
  <c r="B32" i="81" s="1"/>
  <c r="C5" i="27"/>
  <c r="C8" i="27"/>
  <c r="C4" i="28"/>
  <c r="F32" i="78"/>
  <c r="L32" i="78" s="1"/>
  <c r="F40" i="78"/>
  <c r="L40" i="78" s="1"/>
  <c r="F10" i="80"/>
  <c r="L10" i="80" s="1"/>
  <c r="B31" i="81" s="1"/>
  <c r="E30" i="22"/>
  <c r="C7" i="27"/>
  <c r="C5" i="28"/>
  <c r="H5" i="27" l="1"/>
  <c r="I5" i="27" s="1"/>
  <c r="H7" i="27"/>
  <c r="I7" i="27" s="1"/>
  <c r="F9" i="78"/>
  <c r="B56" i="78"/>
  <c r="F15" i="78"/>
  <c r="B63" i="78"/>
  <c r="F16" i="78"/>
  <c r="B64" i="78"/>
  <c r="F8" i="78"/>
  <c r="B55" i="78"/>
  <c r="L33" i="78"/>
  <c r="L41" i="78"/>
  <c r="P41" i="78" s="1"/>
  <c r="H9" i="27"/>
  <c r="I9" i="27" s="1"/>
  <c r="H4" i="28"/>
  <c r="I4" i="28" s="1"/>
  <c r="H5" i="28"/>
  <c r="I5" i="28" s="1"/>
  <c r="H8" i="27"/>
  <c r="I8" i="27" s="1"/>
  <c r="F55" i="78" l="1"/>
  <c r="L55" i="78" s="1"/>
  <c r="L8" i="78"/>
  <c r="L9" i="78"/>
  <c r="F56" i="78"/>
  <c r="L56" i="78" s="1"/>
  <c r="B12" i="81" s="1"/>
  <c r="I7" i="28"/>
  <c r="L16" i="78"/>
  <c r="F64" i="78"/>
  <c r="L64" i="78" s="1"/>
  <c r="B20" i="81" s="1"/>
  <c r="P33" i="78"/>
  <c r="P45" i="78" s="1"/>
  <c r="J56" i="47" s="1"/>
  <c r="H56" i="47" s="1"/>
  <c r="P73" i="78"/>
  <c r="L15" i="78"/>
  <c r="L17" i="78" s="1"/>
  <c r="P17" i="78" s="1"/>
  <c r="F63" i="78"/>
  <c r="L63" i="78" s="1"/>
  <c r="I11" i="27"/>
  <c r="B15" i="74"/>
  <c r="D19" i="72" l="1"/>
  <c r="D25" i="71"/>
  <c r="C16" i="27"/>
  <c r="C10" i="28"/>
  <c r="C18" i="27"/>
  <c r="D26" i="71"/>
  <c r="D20" i="72"/>
  <c r="C5" i="26"/>
  <c r="C11" i="28"/>
  <c r="C14" i="27"/>
  <c r="C4" i="26"/>
  <c r="H43" i="73"/>
  <c r="L10" i="78"/>
  <c r="P10" i="78" s="1"/>
  <c r="P21" i="78" s="1"/>
  <c r="B19" i="81"/>
  <c r="B21" i="81" s="1"/>
  <c r="F21" i="81" s="1"/>
  <c r="L65" i="78"/>
  <c r="P65" i="78" s="1"/>
  <c r="C17" i="27"/>
  <c r="B11" i="81"/>
  <c r="B13" i="81" s="1"/>
  <c r="F13" i="81" s="1"/>
  <c r="F25" i="81" s="1"/>
  <c r="L57" i="78"/>
  <c r="G23" i="30"/>
  <c r="B14" i="74"/>
  <c r="B31" i="74"/>
  <c r="F18" i="30"/>
  <c r="F7" i="30" s="1"/>
  <c r="D31" i="74" s="1"/>
  <c r="F17" i="30"/>
  <c r="F6" i="30" s="1"/>
  <c r="D15" i="74" s="1"/>
  <c r="P72" i="78" l="1"/>
  <c r="G56" i="47"/>
  <c r="E56" i="47" s="1"/>
  <c r="P57" i="78"/>
  <c r="P69" i="78" s="1"/>
  <c r="P75" i="78" s="1"/>
  <c r="H17" i="27"/>
  <c r="I17" i="27" s="1"/>
  <c r="C34" i="27"/>
  <c r="F20" i="72"/>
  <c r="F28" i="73" s="1"/>
  <c r="D28" i="73" s="1"/>
  <c r="J28" i="73" s="1"/>
  <c r="J20" i="72"/>
  <c r="H18" i="27"/>
  <c r="I18" i="27" s="1"/>
  <c r="C35" i="27"/>
  <c r="F26" i="71"/>
  <c r="F14" i="73" s="1"/>
  <c r="J26" i="71"/>
  <c r="H5" i="26"/>
  <c r="I5" i="26" s="1"/>
  <c r="F25" i="71"/>
  <c r="F13" i="73" s="1"/>
  <c r="J25" i="71"/>
  <c r="H11" i="28"/>
  <c r="I11" i="28" s="1"/>
  <c r="D19" i="28"/>
  <c r="H10" i="28"/>
  <c r="I10" i="28" s="1"/>
  <c r="I13" i="28" s="1"/>
  <c r="C19" i="28"/>
  <c r="C37" i="42" s="1"/>
  <c r="F19" i="72"/>
  <c r="F27" i="73" s="1"/>
  <c r="D27" i="73" s="1"/>
  <c r="J27" i="73" s="1"/>
  <c r="J19" i="72"/>
  <c r="H4" i="26"/>
  <c r="I4" i="26" s="1"/>
  <c r="I7" i="26" s="1"/>
  <c r="H16" i="27"/>
  <c r="I16" i="27" s="1"/>
  <c r="C33" i="27"/>
  <c r="H14" i="27"/>
  <c r="I14" i="27" s="1"/>
  <c r="I20" i="27" s="1"/>
  <c r="C32" i="27"/>
  <c r="B13" i="74"/>
  <c r="G27" i="30"/>
  <c r="F31" i="74"/>
  <c r="B29" i="74"/>
  <c r="D18" i="30"/>
  <c r="D7" i="30" s="1"/>
  <c r="D29" i="74" s="1"/>
  <c r="G28" i="30"/>
  <c r="G18" i="30" s="1"/>
  <c r="G7" i="30" s="1"/>
  <c r="E17" i="30"/>
  <c r="E6" i="30" s="1"/>
  <c r="D14" i="74" s="1"/>
  <c r="F15" i="74"/>
  <c r="F37" i="81" l="1"/>
  <c r="P74" i="78"/>
  <c r="C14" i="42" s="1"/>
  <c r="C36" i="42"/>
  <c r="D24" i="71"/>
  <c r="D18" i="72"/>
  <c r="D65" i="67"/>
  <c r="D26" i="69"/>
  <c r="D64" i="67"/>
  <c r="D25" i="69"/>
  <c r="C10" i="26"/>
  <c r="H47" i="70"/>
  <c r="N75" i="47"/>
  <c r="C11" i="26"/>
  <c r="E58" i="47"/>
  <c r="G58" i="47" s="1"/>
  <c r="K56" i="47"/>
  <c r="M56" i="47" s="1"/>
  <c r="H66" i="47" s="1"/>
  <c r="F29" i="74"/>
  <c r="F32" i="74" s="1"/>
  <c r="B32" i="74"/>
  <c r="B16" i="74"/>
  <c r="B18" i="74" s="1"/>
  <c r="B36" i="74" s="1"/>
  <c r="D17" i="30"/>
  <c r="G22" i="30"/>
  <c r="G17" i="30" s="1"/>
  <c r="G6" i="30" s="1"/>
  <c r="N74" i="47" s="1"/>
  <c r="F14" i="74"/>
  <c r="H11" i="26" l="1"/>
  <c r="I11" i="26" s="1"/>
  <c r="D21" i="26"/>
  <c r="H10" i="26"/>
  <c r="I10" i="26" s="1"/>
  <c r="C21" i="26"/>
  <c r="F18" i="72"/>
  <c r="J18" i="72"/>
  <c r="F24" i="71"/>
  <c r="J24" i="71"/>
  <c r="J27" i="71" s="1"/>
  <c r="B6" i="25"/>
  <c r="D6" i="30"/>
  <c r="D13" i="74" s="1"/>
  <c r="D32" i="74"/>
  <c r="H35" i="69"/>
  <c r="J38" i="71" l="1"/>
  <c r="F12" i="73"/>
  <c r="F15" i="73" s="1"/>
  <c r="D15" i="73" s="1"/>
  <c r="H38" i="71"/>
  <c r="K38" i="71" s="1"/>
  <c r="E14" i="47"/>
  <c r="F27" i="71"/>
  <c r="D27" i="71" s="1"/>
  <c r="J31" i="72"/>
  <c r="H31" i="72"/>
  <c r="E26" i="47"/>
  <c r="F26" i="73"/>
  <c r="D26" i="73" s="1"/>
  <c r="J26" i="73" s="1"/>
  <c r="I13" i="26"/>
  <c r="F13" i="74"/>
  <c r="F16" i="74" s="1"/>
  <c r="B9" i="80"/>
  <c r="F9" i="80" s="1"/>
  <c r="L9" i="80" s="1"/>
  <c r="F6" i="25"/>
  <c r="J6" i="25" s="1"/>
  <c r="B8" i="77" s="1"/>
  <c r="D23" i="69"/>
  <c r="J43" i="73" l="1"/>
  <c r="K43" i="73" s="1"/>
  <c r="K31" i="72"/>
  <c r="E40" i="47"/>
  <c r="D63" i="67"/>
  <c r="D24" i="69"/>
  <c r="F15" i="26"/>
  <c r="C35" i="42" s="1"/>
  <c r="D16" i="74"/>
  <c r="H30" i="72"/>
  <c r="F18" i="74"/>
  <c r="J23" i="69"/>
  <c r="F23" i="69"/>
  <c r="B30" i="81"/>
  <c r="B33" i="81" s="1"/>
  <c r="F33" i="81" s="1"/>
  <c r="L12" i="80"/>
  <c r="P12" i="80" s="1"/>
  <c r="F38" i="81" l="1"/>
  <c r="F35" i="81"/>
  <c r="J35" i="69"/>
  <c r="F30" i="70"/>
  <c r="H25" i="47"/>
  <c r="F36" i="74"/>
  <c r="D18" i="74"/>
  <c r="H42" i="73"/>
  <c r="D17" i="72"/>
  <c r="J57" i="47"/>
  <c r="H57" i="47" s="1"/>
  <c r="P14" i="80"/>
  <c r="C15" i="42" s="1"/>
  <c r="H72" i="47"/>
  <c r="K35" i="69" l="1"/>
  <c r="D36" i="74"/>
  <c r="K57" i="47"/>
  <c r="H58" i="47"/>
  <c r="J58" i="47" s="1"/>
  <c r="F17" i="72"/>
  <c r="J17" i="72"/>
  <c r="J22" i="72" s="1"/>
  <c r="D30" i="70"/>
  <c r="M57" i="47" l="1"/>
  <c r="I66" i="47" s="1"/>
  <c r="K58" i="47"/>
  <c r="F25" i="73"/>
  <c r="F22" i="72"/>
  <c r="J30" i="72"/>
  <c r="E25" i="47"/>
  <c r="E39" i="47" l="1"/>
  <c r="K30" i="72"/>
  <c r="J42" i="73"/>
  <c r="D22" i="72"/>
  <c r="D25" i="73"/>
  <c r="J25" i="73" s="1"/>
  <c r="J30" i="73" s="1"/>
  <c r="F30" i="73"/>
  <c r="I72" i="47"/>
  <c r="J72" i="47" s="1"/>
  <c r="M58" i="47"/>
  <c r="J66" i="47" l="1"/>
  <c r="F39" i="81"/>
  <c r="C44" i="42" s="1"/>
  <c r="K42" i="73"/>
  <c r="D30" i="73"/>
  <c r="B7" i="72" l="1"/>
  <c r="H7" i="72" s="1"/>
  <c r="B6" i="72" l="1"/>
  <c r="H6" i="72" s="1"/>
  <c r="H12" i="29" l="1"/>
  <c r="C12" i="29"/>
  <c r="F7" i="72" l="1"/>
  <c r="D7" i="72" s="1"/>
  <c r="J7" i="72" s="1"/>
  <c r="I12" i="29"/>
  <c r="I12" i="57"/>
  <c r="K12" i="57"/>
  <c r="M12" i="57" s="1"/>
  <c r="G26" i="57"/>
  <c r="I15" i="22" l="1"/>
  <c r="E15" i="22"/>
  <c r="F6" i="72" l="1"/>
  <c r="H28" i="72"/>
  <c r="J15" i="22"/>
  <c r="H38" i="73"/>
  <c r="D6" i="72" l="1"/>
  <c r="J6" i="72" s="1"/>
  <c r="J28" i="72"/>
  <c r="E23" i="47"/>
  <c r="E35" i="47" s="1"/>
  <c r="K28" i="72" l="1"/>
  <c r="J38" i="73"/>
  <c r="K38" i="73" s="1"/>
  <c r="B14" i="29" l="1"/>
  <c r="B7" i="69" s="1"/>
  <c r="H7" i="69" l="1"/>
  <c r="H17" i="82" l="1"/>
  <c r="L17" i="82" s="1"/>
  <c r="L27" i="82" s="1"/>
  <c r="H17" i="84"/>
  <c r="L17" i="84" s="1"/>
  <c r="L27" i="84" s="1"/>
  <c r="I16" i="57"/>
  <c r="I17" i="57" s="1"/>
  <c r="I24" i="57" s="1"/>
  <c r="G17" i="57"/>
  <c r="B32" i="67"/>
  <c r="D12" i="22"/>
  <c r="I19" i="22"/>
  <c r="J19" i="22" s="1"/>
  <c r="E19" i="22"/>
  <c r="B6" i="69"/>
  <c r="H6" i="69" s="1"/>
  <c r="D21" i="22"/>
  <c r="C8" i="29"/>
  <c r="I8" i="29"/>
  <c r="B9" i="29"/>
  <c r="B21" i="22"/>
  <c r="G27" i="57" l="1"/>
  <c r="G24" i="57"/>
  <c r="B27" i="29"/>
  <c r="C9" i="29"/>
  <c r="I9" i="29"/>
  <c r="H32" i="84"/>
  <c r="L32" i="84" s="1"/>
  <c r="L34" i="84" s="1"/>
  <c r="H32" i="82"/>
  <c r="L32" i="82" s="1"/>
  <c r="L34" i="82" s="1"/>
  <c r="L65" i="47"/>
  <c r="B12" i="22"/>
  <c r="C13" i="29"/>
  <c r="H13" i="29"/>
  <c r="D14" i="29"/>
  <c r="D40" i="22"/>
  <c r="B64" i="67" l="1"/>
  <c r="D15" i="68"/>
  <c r="B25" i="69" s="1"/>
  <c r="C14" i="29"/>
  <c r="D27" i="29"/>
  <c r="L38" i="82"/>
  <c r="C46" i="42" s="1"/>
  <c r="I13" i="29"/>
  <c r="H14" i="29"/>
  <c r="B65" i="67"/>
  <c r="D16" i="68"/>
  <c r="B26" i="69" s="1"/>
  <c r="B63" i="67"/>
  <c r="D14" i="68"/>
  <c r="B24" i="69" s="1"/>
  <c r="B40" i="22"/>
  <c r="B33" i="70" l="1"/>
  <c r="F26" i="69"/>
  <c r="F33" i="70" s="1"/>
  <c r="H26" i="69"/>
  <c r="J26" i="69" s="1"/>
  <c r="I14" i="29"/>
  <c r="F7" i="69"/>
  <c r="D7" i="69" s="1"/>
  <c r="J7" i="69" s="1"/>
  <c r="H27" i="29"/>
  <c r="C27" i="29"/>
  <c r="B18" i="70"/>
  <c r="F65" i="67"/>
  <c r="F18" i="70" s="1"/>
  <c r="H24" i="69"/>
  <c r="J24" i="69" s="1"/>
  <c r="B31" i="70"/>
  <c r="F24" i="69"/>
  <c r="F63" i="67"/>
  <c r="B16" i="70"/>
  <c r="B32" i="70"/>
  <c r="F25" i="69"/>
  <c r="F32" i="70" s="1"/>
  <c r="D32" i="70" s="1"/>
  <c r="H25" i="69"/>
  <c r="J25" i="69" s="1"/>
  <c r="F64" i="67"/>
  <c r="F17" i="70" s="1"/>
  <c r="B17" i="70"/>
  <c r="E38" i="48"/>
  <c r="D18" i="70" l="1"/>
  <c r="D17" i="70"/>
  <c r="J27" i="69"/>
  <c r="J77" i="67"/>
  <c r="H77" i="67"/>
  <c r="H14" i="47"/>
  <c r="F16" i="70"/>
  <c r="D16" i="70" s="1"/>
  <c r="H29" i="29"/>
  <c r="I27" i="29"/>
  <c r="I29" i="29" s="1"/>
  <c r="D33" i="70"/>
  <c r="B33" i="67"/>
  <c r="E32" i="48"/>
  <c r="C34" i="42"/>
  <c r="K16" i="57"/>
  <c r="B17" i="57"/>
  <c r="B24" i="57" s="1"/>
  <c r="I18" i="22"/>
  <c r="E18" i="22"/>
  <c r="C12" i="22"/>
  <c r="I9" i="22"/>
  <c r="E9" i="22"/>
  <c r="E17" i="48"/>
  <c r="B5" i="67"/>
  <c r="C5" i="49"/>
  <c r="C14" i="49" s="1"/>
  <c r="H36" i="69"/>
  <c r="H26" i="47"/>
  <c r="J36" i="69"/>
  <c r="F31" i="70"/>
  <c r="F27" i="69"/>
  <c r="D27" i="69" s="1"/>
  <c r="E17" i="50"/>
  <c r="H12" i="50"/>
  <c r="G12" i="50"/>
  <c r="K77" i="67" l="1"/>
  <c r="K36" i="69"/>
  <c r="E17" i="57"/>
  <c r="E24" i="57" s="1"/>
  <c r="H27" i="50"/>
  <c r="E32" i="50"/>
  <c r="G27" i="50"/>
  <c r="B6" i="67"/>
  <c r="G17" i="50"/>
  <c r="E40" i="48"/>
  <c r="E12" i="22"/>
  <c r="E12" i="51"/>
  <c r="B7" i="67"/>
  <c r="H17" i="50"/>
  <c r="D31" i="70"/>
  <c r="F34" i="70"/>
  <c r="D34" i="70" s="1"/>
  <c r="J18" i="22"/>
  <c r="B30" i="57"/>
  <c r="E16" i="22"/>
  <c r="I16" i="22"/>
  <c r="C21" i="22"/>
  <c r="E21" i="22" s="1"/>
  <c r="M16" i="57"/>
  <c r="M17" i="57" s="1"/>
  <c r="M24" i="57" s="1"/>
  <c r="K17" i="57"/>
  <c r="K24" i="57" s="1"/>
  <c r="H40" i="47"/>
  <c r="O75" i="47" s="1"/>
  <c r="C16" i="49"/>
  <c r="E38" i="50"/>
  <c r="E40" i="50" s="1"/>
  <c r="E47" i="50" s="1"/>
  <c r="G34" i="50"/>
  <c r="G38" i="50" s="1"/>
  <c r="H34" i="50"/>
  <c r="B10" i="67"/>
  <c r="B71" i="67"/>
  <c r="F32" i="67"/>
  <c r="J9" i="22"/>
  <c r="H72" i="67"/>
  <c r="H42" i="70"/>
  <c r="I12" i="22"/>
  <c r="J47" i="70"/>
  <c r="K47" i="70" s="1"/>
  <c r="C29" i="57"/>
  <c r="C17" i="57"/>
  <c r="C24" i="57" s="1"/>
  <c r="C40" i="22" l="1"/>
  <c r="D6" i="67"/>
  <c r="J72" i="67"/>
  <c r="D32" i="67"/>
  <c r="H9" i="47"/>
  <c r="E17" i="51"/>
  <c r="B34" i="67"/>
  <c r="G32" i="50"/>
  <c r="J12" i="22"/>
  <c r="B35" i="67"/>
  <c r="E27" i="51"/>
  <c r="E32" i="51" s="1"/>
  <c r="H32" i="50"/>
  <c r="D17" i="57"/>
  <c r="D24" i="57" s="1"/>
  <c r="H38" i="50"/>
  <c r="H40" i="50" s="1"/>
  <c r="E34" i="51"/>
  <c r="E38" i="51" s="1"/>
  <c r="K72" i="67"/>
  <c r="B6" i="70"/>
  <c r="B68" i="67"/>
  <c r="B62" i="67"/>
  <c r="J16" i="22"/>
  <c r="F6" i="69"/>
  <c r="H33" i="69"/>
  <c r="I21" i="22"/>
  <c r="J21" i="22" s="1"/>
  <c r="G40" i="50"/>
  <c r="H47" i="50" l="1"/>
  <c r="E30" i="57"/>
  <c r="H23" i="47"/>
  <c r="D6" i="69"/>
  <c r="J6" i="69" s="1"/>
  <c r="J33" i="69"/>
  <c r="K33" i="69" s="1"/>
  <c r="F32" i="48"/>
  <c r="K27" i="48"/>
  <c r="G27" i="48"/>
  <c r="B66" i="67"/>
  <c r="H62" i="67"/>
  <c r="B22" i="74"/>
  <c r="B15" i="70"/>
  <c r="K12" i="48"/>
  <c r="D5" i="49"/>
  <c r="F17" i="48"/>
  <c r="G12" i="48"/>
  <c r="I40" i="22"/>
  <c r="E52" i="51"/>
  <c r="E40" i="51"/>
  <c r="E47" i="51" s="1"/>
  <c r="E56" i="51" s="1"/>
  <c r="H8" i="67"/>
  <c r="J8" i="67" s="1"/>
  <c r="H22" i="67"/>
  <c r="J22" i="67" s="1"/>
  <c r="H25" i="67"/>
  <c r="J25" i="67" s="1"/>
  <c r="H58" i="67"/>
  <c r="J58" i="67" s="1"/>
  <c r="B77" i="67"/>
  <c r="H14" i="67"/>
  <c r="J14" i="67" s="1"/>
  <c r="H17" i="67"/>
  <c r="J17" i="67" s="1"/>
  <c r="H55" i="67"/>
  <c r="J55" i="67" s="1"/>
  <c r="H24" i="67"/>
  <c r="J24" i="67" s="1"/>
  <c r="H47" i="67"/>
  <c r="J47" i="67" s="1"/>
  <c r="H15" i="67"/>
  <c r="J15" i="67" s="1"/>
  <c r="H56" i="67"/>
  <c r="J56" i="67" s="1"/>
  <c r="H13" i="67"/>
  <c r="J13" i="67" s="1"/>
  <c r="H26" i="67"/>
  <c r="J26" i="67" s="1"/>
  <c r="H57" i="67"/>
  <c r="J57" i="67" s="1"/>
  <c r="H37" i="67"/>
  <c r="J37" i="67" s="1"/>
  <c r="H54" i="67"/>
  <c r="J54" i="67" s="1"/>
  <c r="H36" i="67"/>
  <c r="J36" i="67" s="1"/>
  <c r="H44" i="67"/>
  <c r="J44" i="67" s="1"/>
  <c r="H9" i="67"/>
  <c r="J9" i="67" s="1"/>
  <c r="H31" i="67"/>
  <c r="H45" i="67"/>
  <c r="J45" i="67" s="1"/>
  <c r="H48" i="67"/>
  <c r="J48" i="67" s="1"/>
  <c r="I15" i="47"/>
  <c r="H23" i="67"/>
  <c r="J23" i="67" s="1"/>
  <c r="H16" i="67"/>
  <c r="J16" i="67" s="1"/>
  <c r="H27" i="67"/>
  <c r="J27" i="67" s="1"/>
  <c r="H46" i="67"/>
  <c r="J46" i="67" s="1"/>
  <c r="H21" i="67"/>
  <c r="H52" i="67"/>
  <c r="H53" i="67"/>
  <c r="J53" i="67" s="1"/>
  <c r="H32" i="67"/>
  <c r="J32" i="67" s="1"/>
  <c r="H64" i="67"/>
  <c r="J64" i="67" s="1"/>
  <c r="H65" i="67"/>
  <c r="J65" i="67" s="1"/>
  <c r="H63" i="67"/>
  <c r="J63" i="67" s="1"/>
  <c r="H33" i="67"/>
  <c r="H5" i="67"/>
  <c r="D30" i="57"/>
  <c r="C5" i="59"/>
  <c r="C14" i="59" s="1"/>
  <c r="C18" i="59" s="1"/>
  <c r="H35" i="47"/>
  <c r="O70" i="47" s="1"/>
  <c r="B12" i="70"/>
  <c r="E54" i="51"/>
  <c r="H7" i="67"/>
  <c r="H34" i="67"/>
  <c r="D34" i="67"/>
  <c r="J34" i="67" s="1"/>
  <c r="B74" i="67"/>
  <c r="J42" i="70"/>
  <c r="K42" i="70" s="1"/>
  <c r="E53" i="51"/>
  <c r="H35" i="67"/>
  <c r="G34" i="48"/>
  <c r="K34" i="48"/>
  <c r="F38" i="48"/>
  <c r="H6" i="67"/>
  <c r="J6" i="67" s="1"/>
  <c r="G47" i="50"/>
  <c r="E40" i="22"/>
  <c r="C31" i="42" l="1"/>
  <c r="J18" i="67"/>
  <c r="B21" i="70"/>
  <c r="C20" i="59"/>
  <c r="F40" i="48"/>
  <c r="G17" i="48"/>
  <c r="C45" i="42"/>
  <c r="I5" i="49"/>
  <c r="E5" i="49"/>
  <c r="D14" i="49"/>
  <c r="I41" i="47"/>
  <c r="I63" i="47"/>
  <c r="I43" i="22"/>
  <c r="J40" i="22"/>
  <c r="J43" i="22" s="1"/>
  <c r="N70" i="47"/>
  <c r="K17" i="48"/>
  <c r="L12" i="48"/>
  <c r="F5" i="67"/>
  <c r="L27" i="48"/>
  <c r="F33" i="67"/>
  <c r="D33" i="67" s="1"/>
  <c r="J33" i="67" s="1"/>
  <c r="K32" i="48"/>
  <c r="L32" i="48" s="1"/>
  <c r="F19" i="37"/>
  <c r="D5" i="59"/>
  <c r="G32" i="48"/>
  <c r="K38" i="48"/>
  <c r="L38" i="48" s="1"/>
  <c r="L34" i="48"/>
  <c r="B19" i="70"/>
  <c r="G38" i="48"/>
  <c r="G12" i="51"/>
  <c r="K12" i="51"/>
  <c r="F17" i="51"/>
  <c r="F22" i="74"/>
  <c r="F24" i="74" s="1"/>
  <c r="B24" i="74"/>
  <c r="B34" i="74" s="1"/>
  <c r="B37" i="74" s="1"/>
  <c r="D38" i="74"/>
  <c r="J49" i="67"/>
  <c r="F5" i="59" l="1"/>
  <c r="D14" i="59"/>
  <c r="D18" i="59" s="1"/>
  <c r="K5" i="59"/>
  <c r="C94" i="21"/>
  <c r="J19" i="37"/>
  <c r="F21" i="37"/>
  <c r="B38" i="70"/>
  <c r="F38" i="51"/>
  <c r="G38" i="51" s="1"/>
  <c r="G34" i="51"/>
  <c r="K34" i="51"/>
  <c r="H19" i="70"/>
  <c r="K27" i="51"/>
  <c r="F32" i="51"/>
  <c r="G27" i="51"/>
  <c r="C21" i="42"/>
  <c r="E14" i="49"/>
  <c r="D16" i="49"/>
  <c r="G40" i="48"/>
  <c r="C27" i="42"/>
  <c r="F7" i="67"/>
  <c r="L12" i="51"/>
  <c r="K17" i="51"/>
  <c r="H74" i="67"/>
  <c r="K74" i="67" s="1"/>
  <c r="H44" i="70"/>
  <c r="J5" i="49"/>
  <c r="I14" i="49"/>
  <c r="H11" i="47"/>
  <c r="H37" i="47" s="1"/>
  <c r="O72" i="47" s="1"/>
  <c r="D5" i="67"/>
  <c r="J5" i="67" s="1"/>
  <c r="J74" i="67"/>
  <c r="J44" i="70" s="1"/>
  <c r="F10" i="67"/>
  <c r="F7" i="37"/>
  <c r="F13" i="37"/>
  <c r="H76" i="67"/>
  <c r="D24" i="74"/>
  <c r="F34" i="74"/>
  <c r="G17" i="51"/>
  <c r="F40" i="51"/>
  <c r="L17" i="48"/>
  <c r="K40" i="48"/>
  <c r="L40" i="48" s="1"/>
  <c r="K44" i="70" l="1"/>
  <c r="H46" i="70"/>
  <c r="D7" i="67"/>
  <c r="J7" i="67" s="1"/>
  <c r="J10" i="67" s="1"/>
  <c r="J75" i="67"/>
  <c r="J45" i="70" s="1"/>
  <c r="H12" i="47"/>
  <c r="H38" i="47" s="1"/>
  <c r="O73" i="47" s="1"/>
  <c r="L27" i="51"/>
  <c r="F35" i="67"/>
  <c r="D35" i="67" s="1"/>
  <c r="J35" i="67" s="1"/>
  <c r="K32" i="51"/>
  <c r="L32" i="51" s="1"/>
  <c r="F94" i="21"/>
  <c r="K94" i="21" s="1"/>
  <c r="J94" i="21"/>
  <c r="C94" i="63"/>
  <c r="C94" i="62"/>
  <c r="G40" i="51"/>
  <c r="F47" i="51"/>
  <c r="F6" i="70"/>
  <c r="D10" i="67"/>
  <c r="N72" i="47"/>
  <c r="I16" i="49"/>
  <c r="J14" i="49"/>
  <c r="J16" i="49" s="1"/>
  <c r="K38" i="51"/>
  <c r="L38" i="51" s="1"/>
  <c r="L34" i="51"/>
  <c r="C26" i="42"/>
  <c r="H45" i="70"/>
  <c r="K45" i="70" s="1"/>
  <c r="H75" i="67"/>
  <c r="K75" i="67" s="1"/>
  <c r="M5" i="59"/>
  <c r="K14" i="59"/>
  <c r="D34" i="74"/>
  <c r="F37" i="74"/>
  <c r="J13" i="37"/>
  <c r="F15" i="37"/>
  <c r="D62" i="67"/>
  <c r="C91" i="21"/>
  <c r="F25" i="37"/>
  <c r="D25" i="37" s="1"/>
  <c r="J7" i="37"/>
  <c r="F9" i="37"/>
  <c r="L17" i="51"/>
  <c r="H21" i="70"/>
  <c r="H24" i="70"/>
  <c r="H34" i="70"/>
  <c r="H8" i="70"/>
  <c r="H36" i="70"/>
  <c r="H7" i="70"/>
  <c r="J7" i="70" s="1"/>
  <c r="H11" i="70"/>
  <c r="H30" i="70"/>
  <c r="J30" i="70" s="1"/>
  <c r="H9" i="70"/>
  <c r="H10" i="70"/>
  <c r="J10" i="70" s="1"/>
  <c r="H27" i="70"/>
  <c r="H25" i="70"/>
  <c r="H26" i="70"/>
  <c r="H32" i="70"/>
  <c r="J32" i="70" s="1"/>
  <c r="H18" i="70"/>
  <c r="J18" i="70" s="1"/>
  <c r="H17" i="70"/>
  <c r="J17" i="70" s="1"/>
  <c r="H31" i="70"/>
  <c r="J31" i="70" s="1"/>
  <c r="H16" i="70"/>
  <c r="J16" i="70" s="1"/>
  <c r="H33" i="70"/>
  <c r="J33" i="70" s="1"/>
  <c r="H6" i="70"/>
  <c r="H12" i="70"/>
  <c r="H15" i="70"/>
  <c r="F18" i="59"/>
  <c r="G18" i="59" s="1"/>
  <c r="D20" i="59"/>
  <c r="G32" i="51"/>
  <c r="K19" i="37"/>
  <c r="J21" i="37"/>
  <c r="G5" i="59"/>
  <c r="F14" i="59"/>
  <c r="G14" i="59" s="1"/>
  <c r="F27" i="37" l="1"/>
  <c r="D27" i="37" s="1"/>
  <c r="G47" i="51"/>
  <c r="F94" i="63"/>
  <c r="K94" i="63" s="1"/>
  <c r="J94" i="63"/>
  <c r="J111" i="63" s="1"/>
  <c r="N5" i="59"/>
  <c r="M14" i="59"/>
  <c r="N14" i="59" s="1"/>
  <c r="J111" i="21"/>
  <c r="K13" i="37"/>
  <c r="J15" i="37"/>
  <c r="J34" i="70"/>
  <c r="K21" i="37"/>
  <c r="F91" i="21"/>
  <c r="K91" i="21" s="1"/>
  <c r="J91" i="21"/>
  <c r="C91" i="63"/>
  <c r="C91" i="62"/>
  <c r="D6" i="70"/>
  <c r="J6" i="70" s="1"/>
  <c r="O94" i="21"/>
  <c r="N73" i="47"/>
  <c r="K18" i="59"/>
  <c r="J9" i="37"/>
  <c r="J25" i="37"/>
  <c r="K25" i="37" s="1"/>
  <c r="K7" i="37"/>
  <c r="D37" i="74"/>
  <c r="C33" i="42" s="1"/>
  <c r="K40" i="51"/>
  <c r="J62" i="67"/>
  <c r="J66" i="67" s="1"/>
  <c r="F62" i="67"/>
  <c r="J94" i="62"/>
  <c r="J111" i="62" s="1"/>
  <c r="F94" i="62"/>
  <c r="K94" i="62" s="1"/>
  <c r="O91" i="21" l="1"/>
  <c r="Q94" i="21"/>
  <c r="K15" i="37"/>
  <c r="J115" i="21"/>
  <c r="Q111" i="21"/>
  <c r="K111" i="21"/>
  <c r="F5" i="65"/>
  <c r="K111" i="63"/>
  <c r="J115" i="63"/>
  <c r="J115" i="62"/>
  <c r="K111" i="62"/>
  <c r="K47" i="51"/>
  <c r="L40" i="51"/>
  <c r="J91" i="62"/>
  <c r="F91" i="62"/>
  <c r="K91" i="62" s="1"/>
  <c r="J91" i="63"/>
  <c r="F91" i="63"/>
  <c r="K91" i="63" s="1"/>
  <c r="J102" i="21"/>
  <c r="J101" i="21"/>
  <c r="J100" i="21"/>
  <c r="J106" i="21"/>
  <c r="J99" i="21"/>
  <c r="J107" i="21"/>
  <c r="J108" i="21"/>
  <c r="Q91" i="21"/>
  <c r="K20" i="59"/>
  <c r="C28" i="42" s="1"/>
  <c r="M18" i="59"/>
  <c r="N18" i="59" s="1"/>
  <c r="H13" i="47"/>
  <c r="H39" i="47" s="1"/>
  <c r="O74" i="47" s="1"/>
  <c r="F66" i="67"/>
  <c r="D66" i="67" s="1"/>
  <c r="J76" i="67"/>
  <c r="F15" i="70"/>
  <c r="J27" i="37"/>
  <c r="K27" i="37" s="1"/>
  <c r="K9" i="37"/>
  <c r="C20" i="42"/>
  <c r="K100" i="21" l="1"/>
  <c r="F7" i="65"/>
  <c r="D5" i="65"/>
  <c r="J5" i="65" s="1"/>
  <c r="J7" i="65" s="1"/>
  <c r="H21" i="66"/>
  <c r="K101" i="21"/>
  <c r="K102" i="21"/>
  <c r="H37" i="73"/>
  <c r="K99" i="21"/>
  <c r="J103" i="21"/>
  <c r="H41" i="70"/>
  <c r="D15" i="70"/>
  <c r="J15" i="70" s="1"/>
  <c r="J19" i="70" s="1"/>
  <c r="F19" i="70"/>
  <c r="D19" i="70" s="1"/>
  <c r="K108" i="21"/>
  <c r="K107" i="21"/>
  <c r="K52" i="51"/>
  <c r="L47" i="51"/>
  <c r="L52" i="51" s="1"/>
  <c r="J46" i="70"/>
  <c r="K46" i="70" s="1"/>
  <c r="K76" i="67"/>
  <c r="J109" i="21"/>
  <c r="K106" i="21"/>
  <c r="J101" i="63"/>
  <c r="J108" i="63"/>
  <c r="J106" i="63"/>
  <c r="J107" i="63"/>
  <c r="J102" i="63"/>
  <c r="J100" i="63"/>
  <c r="J99" i="63"/>
  <c r="J101" i="62"/>
  <c r="J106" i="62"/>
  <c r="J99" i="62"/>
  <c r="J100" i="62"/>
  <c r="J102" i="62"/>
  <c r="J107" i="62"/>
  <c r="J108" i="62"/>
  <c r="Q101" i="21" l="1"/>
  <c r="K107" i="63"/>
  <c r="F11" i="69"/>
  <c r="H44" i="73"/>
  <c r="K100" i="63"/>
  <c r="F17" i="69"/>
  <c r="K106" i="63"/>
  <c r="J109" i="63"/>
  <c r="K109" i="63" s="1"/>
  <c r="F11" i="72"/>
  <c r="C29" i="42"/>
  <c r="H32" i="71"/>
  <c r="F13" i="71"/>
  <c r="K106" i="62"/>
  <c r="J109" i="62"/>
  <c r="K109" i="62" s="1"/>
  <c r="K109" i="21"/>
  <c r="H26" i="66"/>
  <c r="F14" i="66"/>
  <c r="D7" i="65"/>
  <c r="F31" i="67"/>
  <c r="K99" i="62"/>
  <c r="J103" i="62"/>
  <c r="H71" i="67"/>
  <c r="Q106" i="21"/>
  <c r="H50" i="64"/>
  <c r="F39" i="64"/>
  <c r="K101" i="62"/>
  <c r="K108" i="63"/>
  <c r="F10" i="65"/>
  <c r="F15" i="65"/>
  <c r="H22" i="65"/>
  <c r="K101" i="63"/>
  <c r="Q108" i="21"/>
  <c r="Q100" i="21"/>
  <c r="F21" i="64"/>
  <c r="K108" i="62"/>
  <c r="K99" i="63"/>
  <c r="F5" i="69"/>
  <c r="H32" i="69"/>
  <c r="J103" i="63"/>
  <c r="Q99" i="21"/>
  <c r="H48" i="70"/>
  <c r="F21" i="67"/>
  <c r="K107" i="62"/>
  <c r="K100" i="62"/>
  <c r="F52" i="67"/>
  <c r="K102" i="63"/>
  <c r="F5" i="72"/>
  <c r="H27" i="72"/>
  <c r="Q107" i="21"/>
  <c r="K103" i="21"/>
  <c r="N69" i="47"/>
  <c r="N76" i="47" s="1"/>
  <c r="J114" i="21"/>
  <c r="Q102" i="21"/>
  <c r="Q109" i="21" l="1"/>
  <c r="H55" i="64"/>
  <c r="F38" i="67"/>
  <c r="F9" i="70" s="1"/>
  <c r="D9" i="70" s="1"/>
  <c r="J9" i="70" s="1"/>
  <c r="D31" i="67"/>
  <c r="J31" i="67" s="1"/>
  <c r="J38" i="67" s="1"/>
  <c r="F14" i="69"/>
  <c r="D11" i="69"/>
  <c r="J11" i="69" s="1"/>
  <c r="J14" i="69" s="1"/>
  <c r="H32" i="72"/>
  <c r="D11" i="72"/>
  <c r="J11" i="72" s="1"/>
  <c r="J14" i="72" s="1"/>
  <c r="F14" i="72"/>
  <c r="J27" i="72"/>
  <c r="J32" i="72" s="1"/>
  <c r="E22" i="47"/>
  <c r="E27" i="47" s="1"/>
  <c r="F8" i="72"/>
  <c r="D5" i="72"/>
  <c r="J5" i="72" s="1"/>
  <c r="J8" i="72" s="1"/>
  <c r="K103" i="63"/>
  <c r="J114" i="63"/>
  <c r="C18" i="42" s="1"/>
  <c r="F28" i="64"/>
  <c r="K8" i="47"/>
  <c r="J50" i="64"/>
  <c r="D21" i="64"/>
  <c r="J21" i="64" s="1"/>
  <c r="J28" i="64" s="1"/>
  <c r="F12" i="65"/>
  <c r="D10" i="65"/>
  <c r="J10" i="65" s="1"/>
  <c r="J12" i="65" s="1"/>
  <c r="K22" i="47"/>
  <c r="K27" i="47" s="1"/>
  <c r="M27" i="47" s="1"/>
  <c r="J22" i="65"/>
  <c r="J25" i="65" s="1"/>
  <c r="D14" i="66"/>
  <c r="J14" i="66" s="1"/>
  <c r="F20" i="71"/>
  <c r="E8" i="47"/>
  <c r="D13" i="71"/>
  <c r="J13" i="71" s="1"/>
  <c r="J20" i="71" s="1"/>
  <c r="J29" i="71" s="1"/>
  <c r="J32" i="71"/>
  <c r="H37" i="69"/>
  <c r="H39" i="71"/>
  <c r="K32" i="71"/>
  <c r="D5" i="69"/>
  <c r="J5" i="69" s="1"/>
  <c r="J8" i="69" s="1"/>
  <c r="J32" i="69"/>
  <c r="J37" i="69" s="1"/>
  <c r="K37" i="69" s="1"/>
  <c r="F8" i="69"/>
  <c r="H22" i="47"/>
  <c r="H27" i="47" s="1"/>
  <c r="J27" i="47" s="1"/>
  <c r="H25" i="65"/>
  <c r="K25" i="65" s="1"/>
  <c r="K22" i="65"/>
  <c r="C13" i="42" s="1"/>
  <c r="H78" i="67"/>
  <c r="D15" i="65"/>
  <c r="J15" i="65" s="1"/>
  <c r="J18" i="65" s="1"/>
  <c r="F18" i="65"/>
  <c r="Q103" i="21"/>
  <c r="C17" i="42" s="1"/>
  <c r="K103" i="62"/>
  <c r="J114" i="62"/>
  <c r="C19" i="42" s="1"/>
  <c r="F20" i="69"/>
  <c r="D17" i="69"/>
  <c r="J17" i="69" s="1"/>
  <c r="J20" i="69" s="1"/>
  <c r="D52" i="67"/>
  <c r="J52" i="67" s="1"/>
  <c r="J59" i="67" s="1"/>
  <c r="F59" i="67"/>
  <c r="H8" i="47"/>
  <c r="J71" i="67"/>
  <c r="K71" i="67" s="1"/>
  <c r="F28" i="67"/>
  <c r="D21" i="67"/>
  <c r="J21" i="67" s="1"/>
  <c r="J28" i="67" s="1"/>
  <c r="F46" i="64"/>
  <c r="D39" i="64"/>
  <c r="J39" i="64" s="1"/>
  <c r="J46" i="64" s="1"/>
  <c r="K27" i="72" l="1"/>
  <c r="J24" i="72"/>
  <c r="K32" i="72"/>
  <c r="D28" i="67"/>
  <c r="F8" i="70"/>
  <c r="F68" i="67"/>
  <c r="H60" i="47"/>
  <c r="G27" i="47"/>
  <c r="J41" i="70"/>
  <c r="J78" i="67"/>
  <c r="K78" i="67" s="1"/>
  <c r="E34" i="47"/>
  <c r="E15" i="47"/>
  <c r="J20" i="65"/>
  <c r="C9" i="42"/>
  <c r="F7" i="73"/>
  <c r="D20" i="71"/>
  <c r="F29" i="71"/>
  <c r="D12" i="65"/>
  <c r="F15" i="66"/>
  <c r="F20" i="65"/>
  <c r="K64" i="47" s="1"/>
  <c r="J48" i="64"/>
  <c r="H34" i="47"/>
  <c r="H41" i="47" s="1"/>
  <c r="J41" i="47" s="1"/>
  <c r="H15" i="47"/>
  <c r="J55" i="64"/>
  <c r="K55" i="64" s="1"/>
  <c r="J21" i="66"/>
  <c r="D14" i="69"/>
  <c r="F25" i="70"/>
  <c r="D25" i="70" s="1"/>
  <c r="J25" i="70" s="1"/>
  <c r="D46" i="64"/>
  <c r="F10" i="66"/>
  <c r="D10" i="66" s="1"/>
  <c r="J10" i="66" s="1"/>
  <c r="K34" i="47"/>
  <c r="K41" i="47" s="1"/>
  <c r="M41" i="47" s="1"/>
  <c r="K15" i="47"/>
  <c r="F21" i="73"/>
  <c r="D21" i="73" s="1"/>
  <c r="J21" i="73" s="1"/>
  <c r="D14" i="72"/>
  <c r="F26" i="70"/>
  <c r="D26" i="70" s="1"/>
  <c r="J26" i="70" s="1"/>
  <c r="D20" i="69"/>
  <c r="F24" i="70"/>
  <c r="D8" i="69"/>
  <c r="F29" i="69"/>
  <c r="H64" i="47" s="1"/>
  <c r="F8" i="66"/>
  <c r="D28" i="64"/>
  <c r="F48" i="64"/>
  <c r="D59" i="67"/>
  <c r="F11" i="70"/>
  <c r="D11" i="70" s="1"/>
  <c r="J11" i="70" s="1"/>
  <c r="K50" i="64"/>
  <c r="C12" i="42" s="1"/>
  <c r="J68" i="67"/>
  <c r="D18" i="65"/>
  <c r="F16" i="66"/>
  <c r="D16" i="66" s="1"/>
  <c r="J16" i="66" s="1"/>
  <c r="J29" i="69"/>
  <c r="K32" i="69"/>
  <c r="C10" i="42" s="1"/>
  <c r="J37" i="73"/>
  <c r="J39" i="71"/>
  <c r="K39" i="71" s="1"/>
  <c r="C6" i="42" s="1"/>
  <c r="D8" i="72"/>
  <c r="F20" i="73"/>
  <c r="F24" i="72"/>
  <c r="E64" i="47" s="1"/>
  <c r="C7" i="42" l="1"/>
  <c r="M15" i="47"/>
  <c r="K63" i="47"/>
  <c r="E63" i="47"/>
  <c r="E60" i="47"/>
  <c r="G15" i="47"/>
  <c r="D8" i="70"/>
  <c r="J8" i="70" s="1"/>
  <c r="J12" i="70" s="1"/>
  <c r="J21" i="70" s="1"/>
  <c r="F12" i="70"/>
  <c r="J26" i="66"/>
  <c r="K26" i="66" s="1"/>
  <c r="K21" i="66"/>
  <c r="O69" i="47"/>
  <c r="O76" i="47" s="1"/>
  <c r="E41" i="47"/>
  <c r="D15" i="66"/>
  <c r="J15" i="66" s="1"/>
  <c r="J17" i="66" s="1"/>
  <c r="F17" i="66"/>
  <c r="D17" i="66" s="1"/>
  <c r="H63" i="47"/>
  <c r="J15" i="47"/>
  <c r="J48" i="70"/>
  <c r="K48" i="70" s="1"/>
  <c r="K41" i="70"/>
  <c r="K60" i="47"/>
  <c r="F22" i="73"/>
  <c r="D20" i="73"/>
  <c r="J20" i="73" s="1"/>
  <c r="J22" i="73" s="1"/>
  <c r="J32" i="73" s="1"/>
  <c r="J44" i="73"/>
  <c r="K44" i="73" s="1"/>
  <c r="K37" i="73"/>
  <c r="F11" i="66"/>
  <c r="D8" i="66"/>
  <c r="J8" i="66" s="1"/>
  <c r="J11" i="66" s="1"/>
  <c r="J19" i="66" s="1"/>
  <c r="F27" i="70"/>
  <c r="D24" i="70"/>
  <c r="J24" i="70" s="1"/>
  <c r="J27" i="70" s="1"/>
  <c r="J36" i="70" s="1"/>
  <c r="J38" i="70" s="1"/>
  <c r="F8" i="73"/>
  <c r="D7" i="73"/>
  <c r="J7" i="73" s="1"/>
  <c r="J8" i="73" s="1"/>
  <c r="J17" i="73" s="1"/>
  <c r="C11" i="42" l="1"/>
  <c r="C5" i="42"/>
  <c r="J34" i="73"/>
  <c r="C8" i="42"/>
  <c r="I69" i="47"/>
  <c r="I74" i="47" s="1"/>
  <c r="G41" i="47"/>
  <c r="D22" i="73"/>
  <c r="F32" i="73"/>
  <c r="D32" i="73" s="1"/>
  <c r="F21" i="70"/>
  <c r="D12" i="70"/>
  <c r="D27" i="70"/>
  <c r="F36" i="70"/>
  <c r="D36" i="70" s="1"/>
  <c r="F17" i="73"/>
  <c r="D8" i="73"/>
  <c r="F19" i="66"/>
  <c r="D11" i="66"/>
  <c r="D21" i="70" l="1"/>
  <c r="F38" i="70"/>
  <c r="D17" i="73"/>
  <c r="F34" i="73"/>
  <c r="H69" i="47" l="1"/>
  <c r="J69" i="47"/>
  <c r="H74" i="47"/>
  <c r="J74" i="47" s="1"/>
  <c r="C4" i="42" l="1"/>
  <c r="C48" i="4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stcutting</author>
  </authors>
  <commentList>
    <comment ref="F50" authorId="0" shapeId="0" xr:uid="{00000000-0006-0000-0100-000001000000}">
      <text>
        <r>
          <rPr>
            <b/>
            <sz val="8"/>
            <color indexed="81"/>
            <rFont val="Tahoma"/>
          </rPr>
          <t>stcutting:</t>
        </r>
        <r>
          <rPr>
            <sz val="8"/>
            <color indexed="81"/>
            <rFont val="Tahoma"/>
          </rPr>
          <t xml:space="preserve">
All ACS pieces go through the CIOSS.  Some are finalized in the AFR without needing REC keying.  Some are rejected from the CIOSS and must go to CFS.</t>
        </r>
      </text>
    </comment>
    <comment ref="F51" authorId="0" shapeId="0" xr:uid="{00000000-0006-0000-0100-000002000000}">
      <text>
        <r>
          <rPr>
            <b/>
            <sz val="8"/>
            <color indexed="81"/>
            <rFont val="Tahoma"/>
          </rPr>
          <t>stcutting:</t>
        </r>
        <r>
          <rPr>
            <sz val="8"/>
            <color indexed="81"/>
            <rFont val="Tahoma"/>
          </rPr>
          <t xml:space="preserve">
ditto</t>
        </r>
      </text>
    </comment>
    <comment ref="I52" authorId="0" shapeId="0" xr:uid="{00000000-0006-0000-0100-000003000000}">
      <text>
        <r>
          <rPr>
            <b/>
            <sz val="8"/>
            <color indexed="81"/>
            <rFont val="Tahoma"/>
          </rPr>
          <t>stcutting:</t>
        </r>
        <r>
          <rPr>
            <sz val="8"/>
            <color indexed="81"/>
            <rFont val="Tahoma"/>
          </rPr>
          <t xml:space="preserve">
not counted in total volume.</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stcutting</author>
  </authors>
  <commentList>
    <comment ref="A6" authorId="0" shapeId="0" xr:uid="{00000000-0006-0000-0F00-000001000000}">
      <text>
        <r>
          <rPr>
            <b/>
            <sz val="8"/>
            <color indexed="81"/>
            <rFont val="Tahoma"/>
          </rPr>
          <t>stcutting:</t>
        </r>
        <r>
          <rPr>
            <sz val="8"/>
            <color indexed="81"/>
            <rFont val="Tahoma"/>
          </rPr>
          <t xml:space="preserve">
Includes RTS mail mistakenly put in UBBM tub and later retrieved by Nixie clerk.</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stcutting</author>
  </authors>
  <commentList>
    <comment ref="A6" authorId="0" shapeId="0" xr:uid="{00000000-0006-0000-1000-000001000000}">
      <text>
        <r>
          <rPr>
            <b/>
            <sz val="8"/>
            <color indexed="81"/>
            <rFont val="Tahoma"/>
          </rPr>
          <t>stcutting:</t>
        </r>
        <r>
          <rPr>
            <sz val="8"/>
            <color indexed="81"/>
            <rFont val="Tahoma"/>
          </rPr>
          <t xml:space="preserve">
Includes RTS mail mistakenly put in UBBM tub and later retrieved by Nixie clerk.</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stcutting</author>
  </authors>
  <commentList>
    <comment ref="A16" authorId="0" shapeId="0" xr:uid="{00000000-0006-0000-1200-000001000000}">
      <text>
        <r>
          <rPr>
            <b/>
            <sz val="8"/>
            <color indexed="81"/>
            <rFont val="Tahoma"/>
          </rPr>
          <t>stcutting:</t>
        </r>
        <r>
          <rPr>
            <sz val="8"/>
            <color indexed="81"/>
            <rFont val="Tahoma"/>
          </rPr>
          <t xml:space="preserve">
Postage due activities subtracted out.</t>
        </r>
      </text>
    </comment>
    <comment ref="A24" authorId="0" shapeId="0" xr:uid="{00000000-0006-0000-1200-000002000000}">
      <text>
        <r>
          <rPr>
            <b/>
            <sz val="8"/>
            <color indexed="81"/>
            <rFont val="Tahoma"/>
          </rPr>
          <t>stcutting:</t>
        </r>
        <r>
          <rPr>
            <sz val="8"/>
            <color indexed="81"/>
            <rFont val="Tahoma"/>
          </rPr>
          <t xml:space="preserve">
Postage due activities subtracted out.</t>
        </r>
      </text>
    </comment>
    <comment ref="A25" authorId="0" shapeId="0" xr:uid="{00000000-0006-0000-1200-000003000000}">
      <text>
        <r>
          <rPr>
            <b/>
            <sz val="8"/>
            <color indexed="81"/>
            <rFont val="Tahoma"/>
          </rPr>
          <t>stcutting:</t>
        </r>
        <r>
          <rPr>
            <sz val="8"/>
            <color indexed="81"/>
            <rFont val="Tahoma"/>
          </rPr>
          <t xml:space="preserve">
Postage due activities subtracted out.</t>
        </r>
      </text>
    </comment>
    <comment ref="A33" authorId="0" shapeId="0" xr:uid="{00000000-0006-0000-1200-000004000000}">
      <text>
        <r>
          <rPr>
            <b/>
            <sz val="8"/>
            <color indexed="81"/>
            <rFont val="Tahoma"/>
          </rPr>
          <t>stcutting:</t>
        </r>
        <r>
          <rPr>
            <sz val="8"/>
            <color indexed="81"/>
            <rFont val="Tahoma"/>
          </rPr>
          <t xml:space="preserve">
Includes INT old COA, CIR COA, and CIR Bad Add.</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stcutting</author>
  </authors>
  <commentList>
    <comment ref="G8" authorId="0" shapeId="0" xr:uid="{00000000-0006-0000-1A00-000001000000}">
      <text>
        <r>
          <rPr>
            <b/>
            <sz val="8"/>
            <color indexed="81"/>
            <rFont val="Tahoma"/>
          </rPr>
          <t>stcutting:</t>
        </r>
        <r>
          <rPr>
            <sz val="8"/>
            <color indexed="81"/>
            <rFont val="Tahoma"/>
          </rPr>
          <t xml:space="preserve">
Non-ACS keying of ACS pieces is cheaper than non-ACS keying of non-ACS pieces because only a subset of ACS pieces in column E require non-ACS keying.  The non-ACS productivity for ACS pieces has been adjusted to account for this.</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stcutting</author>
  </authors>
  <commentList>
    <comment ref="B19" authorId="0" shapeId="0" xr:uid="{00000000-0006-0000-2500-000001000000}">
      <text>
        <r>
          <rPr>
            <b/>
            <sz val="8"/>
            <color indexed="81"/>
            <rFont val="Tahoma"/>
          </rPr>
          <t>stcutting:</t>
        </r>
        <r>
          <rPr>
            <sz val="8"/>
            <color indexed="81"/>
            <rFont val="Tahoma"/>
          </rPr>
          <t xml:space="preserve">
linked to CFS dist to capture change in volume.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stcutting</author>
  </authors>
  <commentList>
    <comment ref="B9" authorId="0" shapeId="0" xr:uid="{00000000-0006-0000-0300-000001000000}">
      <text>
        <r>
          <rPr>
            <b/>
            <sz val="8"/>
            <color indexed="81"/>
            <rFont val="Tahoma"/>
          </rPr>
          <t>stcutting:</t>
        </r>
        <r>
          <rPr>
            <sz val="8"/>
            <color indexed="81"/>
            <rFont val="Tahoma"/>
          </rPr>
          <t xml:space="preserve">
It is necessary to subtract out CIF forwards.</t>
        </r>
      </text>
    </comment>
    <comment ref="B19" authorId="0" shapeId="0" xr:uid="{00000000-0006-0000-0300-000002000000}">
      <text>
        <r>
          <rPr>
            <b/>
            <sz val="8"/>
            <color indexed="81"/>
            <rFont val="Tahoma"/>
          </rPr>
          <t>stcutting:</t>
        </r>
        <r>
          <rPr>
            <sz val="8"/>
            <color indexed="81"/>
            <rFont val="Tahoma"/>
          </rPr>
          <t xml:space="preserve">
It is necessary to subtract out INT Fwds.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stcutting</author>
  </authors>
  <commentList>
    <comment ref="B9" authorId="0" shapeId="0" xr:uid="{00000000-0006-0000-0600-000001000000}">
      <text>
        <r>
          <rPr>
            <b/>
            <sz val="8"/>
            <color indexed="81"/>
            <rFont val="Tahoma"/>
          </rPr>
          <t>stcutting:</t>
        </r>
        <r>
          <rPr>
            <sz val="8"/>
            <color indexed="81"/>
            <rFont val="Tahoma"/>
          </rPr>
          <t xml:space="preserve">
It is necessary to subtract out  mail that is CIR (both old COA and BadAdd CIR).</t>
        </r>
      </text>
    </comment>
    <comment ref="B17" authorId="0" shapeId="0" xr:uid="{00000000-0006-0000-0600-000002000000}">
      <text>
        <r>
          <rPr>
            <b/>
            <sz val="8"/>
            <color indexed="81"/>
            <rFont val="Tahoma"/>
          </rPr>
          <t>stcutting:</t>
        </r>
        <r>
          <rPr>
            <sz val="8"/>
            <color indexed="81"/>
            <rFont val="Tahoma"/>
          </rPr>
          <t xml:space="preserve">
It is necessary to subtract out CIF RTS.</t>
        </r>
      </text>
    </comment>
    <comment ref="B27" authorId="0" shapeId="0" xr:uid="{00000000-0006-0000-0600-000003000000}">
      <text>
        <r>
          <rPr>
            <b/>
            <sz val="8"/>
            <color indexed="81"/>
            <rFont val="Tahoma"/>
          </rPr>
          <t>stcutting:</t>
        </r>
        <r>
          <rPr>
            <sz val="8"/>
            <color indexed="81"/>
            <rFont val="Tahoma"/>
          </rPr>
          <t xml:space="preserve">
It is necessary to subtract out INT RTS.</t>
        </r>
      </text>
    </comment>
    <comment ref="B37" authorId="0" shapeId="0" xr:uid="{00000000-0006-0000-0600-000004000000}">
      <text>
        <r>
          <rPr>
            <b/>
            <sz val="8"/>
            <color indexed="81"/>
            <rFont val="Tahoma"/>
          </rPr>
          <t>stcutting:</t>
        </r>
        <r>
          <rPr>
            <sz val="8"/>
            <color indexed="81"/>
            <rFont val="Tahoma"/>
          </rPr>
          <t xml:space="preserve">
It is necessary to subtract out mail that is INT old COA.</t>
        </r>
      </text>
    </comment>
    <comment ref="B48" authorId="0" shapeId="0" xr:uid="{00000000-0006-0000-0600-000005000000}">
      <text>
        <r>
          <rPr>
            <b/>
            <sz val="8"/>
            <color indexed="81"/>
            <rFont val="Tahoma"/>
          </rPr>
          <t>stcutting:</t>
        </r>
        <r>
          <rPr>
            <sz val="8"/>
            <color indexed="81"/>
            <rFont val="Tahoma"/>
          </rPr>
          <t xml:space="preserve">
It is necessary to subtract out CIF RTS.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stcutting</author>
  </authors>
  <commentList>
    <comment ref="B7" authorId="0" shapeId="0" xr:uid="{00000000-0006-0000-0700-000001000000}">
      <text>
        <r>
          <rPr>
            <b/>
            <sz val="8"/>
            <color indexed="81"/>
            <rFont val="Tahoma"/>
          </rPr>
          <t>stcutting:</t>
        </r>
        <r>
          <rPr>
            <sz val="8"/>
            <color indexed="81"/>
            <rFont val="Tahoma"/>
          </rPr>
          <t xml:space="preserve">
This value is lower than the pre-PARS value of 30,xxx because (1) some FOE RTS pieces are intercepted at the plant and require no manual pd rating, (2) some CIR RTS pieces require no manual pd rating in the nixie unit.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stcutting</author>
  </authors>
  <commentList>
    <comment ref="B17" authorId="0" shapeId="0" xr:uid="{00000000-0006-0000-0900-000001000000}">
      <text>
        <r>
          <rPr>
            <b/>
            <sz val="8"/>
            <color indexed="81"/>
            <rFont val="Tahoma"/>
          </rPr>
          <t>stcutting:</t>
        </r>
        <r>
          <rPr>
            <sz val="8"/>
            <color indexed="81"/>
            <rFont val="Tahoma"/>
          </rPr>
          <t xml:space="preserve">
It is necessary to subtract out CIF waste.</t>
        </r>
      </text>
    </comment>
    <comment ref="B27" authorId="0" shapeId="0" xr:uid="{00000000-0006-0000-0900-000002000000}">
      <text>
        <r>
          <rPr>
            <b/>
            <sz val="8"/>
            <color indexed="81"/>
            <rFont val="Tahoma"/>
          </rPr>
          <t>stcutting:</t>
        </r>
        <r>
          <rPr>
            <sz val="8"/>
            <color indexed="81"/>
            <rFont val="Tahoma"/>
          </rPr>
          <t xml:space="preserve">
It is necessary to subtract out INT waste.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stcutting</author>
  </authors>
  <commentList>
    <comment ref="B5" authorId="0" shapeId="0" xr:uid="{00000000-0006-0000-0A00-000001000000}">
      <text>
        <r>
          <rPr>
            <b/>
            <sz val="8"/>
            <color indexed="81"/>
            <rFont val="Tahoma"/>
          </rPr>
          <t>stcutting:</t>
        </r>
        <r>
          <rPr>
            <sz val="8"/>
            <color indexed="81"/>
            <rFont val="Tahoma"/>
          </rPr>
          <t xml:space="preserve">
Carrier-identified non-forwardable waste is included in  PARS route table but is categorized here as non-PARS since these pieces never make it to the CIOSS for processing.</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stcutting</author>
  </authors>
  <commentList>
    <comment ref="J5" authorId="0" shapeId="0" xr:uid="{00000000-0006-0000-0B00-000001000000}">
      <text>
        <r>
          <rPr>
            <b/>
            <sz val="8"/>
            <color indexed="81"/>
            <rFont val="Tahoma"/>
          </rPr>
          <t>stcutting:</t>
        </r>
        <r>
          <rPr>
            <sz val="8"/>
            <color indexed="81"/>
            <rFont val="Tahoma"/>
          </rPr>
          <t xml:space="preserve">
Forms generated on CIOSS have a one-to-one form-to -envelope factor.</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stcutting</author>
  </authors>
  <commentList>
    <comment ref="C6" authorId="0" shapeId="0" xr:uid="{00000000-0006-0000-0D00-000001000000}">
      <text>
        <r>
          <rPr>
            <b/>
            <sz val="8"/>
            <color indexed="81"/>
            <rFont val="Tahoma"/>
          </rPr>
          <t>stcutting:</t>
        </r>
        <r>
          <rPr>
            <sz val="8"/>
            <color indexed="81"/>
            <rFont val="Tahoma"/>
          </rPr>
          <t xml:space="preserve">
Handing out forms, helping to complete forms.</t>
        </r>
      </text>
    </comment>
    <comment ref="D67" authorId="0" shapeId="0" xr:uid="{00000000-0006-0000-0D00-000002000000}">
      <text>
        <r>
          <rPr>
            <b/>
            <sz val="8"/>
            <color indexed="81"/>
            <rFont val="Tahoma"/>
          </rPr>
          <t>stcutting:</t>
        </r>
        <r>
          <rPr>
            <sz val="8"/>
            <color indexed="81"/>
            <rFont val="Tahoma"/>
          </rPr>
          <t xml:space="preserve">
These volumes do not contribute to the COA total.  They are already included above.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stcutting</author>
  </authors>
  <commentList>
    <comment ref="A6" authorId="0" shapeId="0" xr:uid="{00000000-0006-0000-0E00-000001000000}">
      <text>
        <r>
          <rPr>
            <b/>
            <sz val="8"/>
            <color indexed="81"/>
            <rFont val="Tahoma"/>
          </rPr>
          <t>stcutting:</t>
        </r>
        <r>
          <rPr>
            <sz val="8"/>
            <color indexed="81"/>
            <rFont val="Tahoma"/>
          </rPr>
          <t xml:space="preserve">
Includes RTS mail mistakenly put in UBBM tub and later retrieved by Nixie clerk.</t>
        </r>
      </text>
    </comment>
  </commentList>
</comments>
</file>

<file path=xl/sharedStrings.xml><?xml version="1.0" encoding="utf-8"?>
<sst xmlns="http://schemas.openxmlformats.org/spreadsheetml/2006/main" count="3280" uniqueCount="824">
  <si>
    <t>(7) ACS stands for "Address Change Service," the electronic notice address correction system.</t>
  </si>
  <si>
    <t>(8) Mechanized terminals are not operational in the PARS environment.</t>
  </si>
  <si>
    <t>Non-ACS (4)</t>
  </si>
  <si>
    <t>ACS COA (4)</t>
  </si>
  <si>
    <t>ACS Nixie (4)</t>
  </si>
  <si>
    <t>(4) ACS stands for "Address Change Service," the electronic notice address correction system.</t>
  </si>
  <si>
    <t>Moved, Old COA (5)</t>
  </si>
  <si>
    <t>(5) Mail with an old forwarding order (COA age between 13 and 18 months).</t>
  </si>
  <si>
    <t>(7) Mail associated with an active COA or old COA that is identified by a carrier.</t>
  </si>
  <si>
    <t>(6) Under the One Code ACS system, all ACS letters not rejected from the CIOSS are AFR finalized.</t>
  </si>
  <si>
    <t>Volume Weighted Cost for Manual Notices</t>
  </si>
  <si>
    <t xml:space="preserve">      CIOSS/NCSC forms have a lower unit cost due to presorting.</t>
  </si>
  <si>
    <t>Plant-Intercepted Old COA RTS</t>
  </si>
  <si>
    <t>(2) Developed from FCS database 04,  Appendix C, USPS-LR-L-61.</t>
  </si>
  <si>
    <t>Table 3.25 -  Summary of Costs for REC Site Activities, Machinable UAA Letters and COA Cards</t>
  </si>
  <si>
    <t>(5) ACS nixie mail that is intercepted at the plant (old COA only) and returned.</t>
  </si>
  <si>
    <t>(18) Refer to Table 7.21 after subtracting out carrier-identified ACS nixie returned mail.</t>
  </si>
  <si>
    <t>(6) ACS nixie mail that is identified by carriers at the original delivery unit as being RTS.</t>
  </si>
  <si>
    <t>Table 3.6 - Cost of Returned-to-Sender UAA Mail, PARS Pieces -- Part 1</t>
  </si>
  <si>
    <t>Table 3.6 - Cost of Returned-to-Sender UAA Mail, PARS Pieces -- Part 2</t>
  </si>
  <si>
    <t>Table 3.17 - Cost of Processing No-Record Mail</t>
  </si>
  <si>
    <t>(3) Reported costs include savings for the obsolete automation portion of the RTS program (OCR/BCS, LMLM, prep, and endorsement).</t>
  </si>
  <si>
    <t>(6) Refer to Table 3.31.</t>
  </si>
  <si>
    <t>(3) Refer to Table 3.42 and 3.43.</t>
  </si>
  <si>
    <t>(9) Reported costs include savings for the obsolete automation portion of the RTS program (REC image keying).</t>
  </si>
  <si>
    <t>(4) Reported costs include savings for the obsolete automation portion of the RTS program (REC image keying).</t>
  </si>
  <si>
    <t>(9) Reported costs include savings for the obsolete automation portion of the RTS program (OCR/BCS, LMLM, prep, and endorsement).</t>
  </si>
  <si>
    <t>(8) UAA non-PARS mail wasted based on USPS UAA regs.  Refer to Table 3.10.</t>
  </si>
  <si>
    <t>(10) For PARS pieces, refer to Table 3.19 (CFS Cost), Table 3.25 (REC Cost), and</t>
  </si>
  <si>
    <t xml:space="preserve">       Table 3.23 (CIOSS Volumes).  For non-PARS pieces, refer to Table 3.19.</t>
  </si>
  <si>
    <t>(19) Refer to Table 7.21 after subtracting out plant-intercepted ACS nixie returned mail.</t>
  </si>
  <si>
    <t>(4) ACS nixie mail that is intercepted at the plant (old COA mail only) and wasted.</t>
  </si>
  <si>
    <t>(5) ACS nixie mail that is identified by carriers at the original delivery unit as being waste.</t>
  </si>
  <si>
    <t>(15) Refer to Table 7.21 after subtracting out carrier-identified ACS nixie waste mail.</t>
  </si>
  <si>
    <t>(16) Refer to Table 7.21 after subtracting plant-intercepted ACS nixie waste mail.</t>
  </si>
  <si>
    <t>(3) Address Change Service (ACS) mail sent to the nixie unit and then to the CFS unit.</t>
  </si>
  <si>
    <t>(2) Refer to Table 3.27.</t>
  </si>
  <si>
    <t>(4)  Volume based on Table 3.29 after subtracting out PARS non-machinable letters.</t>
  </si>
  <si>
    <t>(5) Mail associated with a COA that is identified by a carrier.</t>
  </si>
  <si>
    <r>
      <t xml:space="preserve">ACS Keying Cost
</t>
    </r>
    <r>
      <rPr>
        <u/>
        <sz val="10"/>
        <rFont val="Arial"/>
        <family val="2"/>
      </rPr>
      <t>(000s) (2)</t>
    </r>
  </si>
  <si>
    <r>
      <t xml:space="preserve">Non-ACS Keying Cost
</t>
    </r>
    <r>
      <rPr>
        <u/>
        <sz val="10"/>
        <rFont val="Arial"/>
        <family val="2"/>
      </rPr>
      <t>(000s)</t>
    </r>
  </si>
  <si>
    <r>
      <t xml:space="preserve">ACS Keying Cost
</t>
    </r>
    <r>
      <rPr>
        <u/>
        <sz val="10"/>
        <rFont val="Arial"/>
        <family val="2"/>
      </rPr>
      <t>(000s)</t>
    </r>
  </si>
  <si>
    <t>(5) ACS stands for "Address Change Service," the electronic notice address correction system.</t>
  </si>
  <si>
    <t>(17) Excludes Address Change Service (ACS) keying.</t>
  </si>
  <si>
    <t>(25) Excludes Address Change Service (ACS) keying.</t>
  </si>
  <si>
    <t>(6) Nixie clerk handling of ACS nixie mail is excluded.  Refer to Table 7.18.</t>
  </si>
  <si>
    <t>Keying (5)</t>
  </si>
  <si>
    <t>(12) Refer to Table 3.11 and 3.12.</t>
  </si>
  <si>
    <t>Moved, old COA (5)</t>
  </si>
  <si>
    <t>Moved, old COA (3)</t>
  </si>
  <si>
    <t>(3) Mail with an old forwarding order (COA age between 13 and 18 months).</t>
  </si>
  <si>
    <t>ACS Nixie Pieces (8)</t>
  </si>
  <si>
    <t>ACS COA Mail Pieces (8)</t>
  </si>
  <si>
    <t>(8) ACS stands for "Address Change Service."</t>
  </si>
  <si>
    <t>Table 3.23 -  Summary of Costs for CIOSS Activities, Machinable UAA Letters</t>
  </si>
  <si>
    <t>Table 3.15 - Cost of UAA at the Delivery Unit Route, Non-PARS Pieces (Parts 2 and 3)</t>
  </si>
  <si>
    <t>Table 3.15 - Cost of UAA at the Delivery Unit Route, Non-PARS Pieces (Parts 4 &amp; 5)</t>
  </si>
  <si>
    <t>Table 3.16 - Cost of UAA at the Originating Delivery Unit Route, PARS Pieces (Part 1)</t>
  </si>
  <si>
    <t>Table 3.16 - Cost of UAA at the Delivery Unit Route, PARS Pieces (Parts 2 and 3)</t>
  </si>
  <si>
    <t>Table 3.16 - Cost of UAA at the Delivery Unit Route, PARS Pieces (Parts 4 &amp; 5)</t>
  </si>
  <si>
    <t>pieces never flow back to the plant for CIOSS processing, their cost is attributed to non-PARS pieces.</t>
  </si>
  <si>
    <t>(5)  Machinable letter that are non-forwardable but not intercepted at the plant are categorized as PARS pieces.  However, since these</t>
  </si>
  <si>
    <t>Table 3.14 - Cost of UAA at the Originating Delivery Unit Route, All Pieces (Part 1)</t>
  </si>
  <si>
    <t>Table 3.14 - Cost of UAA at the Delivery Unit Route, All Pieces (Parts 2 and 3)</t>
  </si>
  <si>
    <t>Table 3.14 - Cost of UAA at the Delivery Unit Route, All Pieces (Parts 4 &amp; 5)</t>
  </si>
  <si>
    <t>(1) COA mail that is intercepted at the plant and forwarded.</t>
  </si>
  <si>
    <t>(2) COA mail that is intercepted at the plant and returned.</t>
  </si>
  <si>
    <t>(1) Non-forwardable COA mail that is intercepted at the plant and wasted.</t>
  </si>
  <si>
    <t>(2) COA mail that is intercepted at the plant and wasted.</t>
  </si>
  <si>
    <t>(3) COA mail that is identified by carriers at the original delivery unit as being waste.</t>
  </si>
  <si>
    <t>(6) Refer to Table 3.24.</t>
  </si>
  <si>
    <t>(8) Refer to Table 3.18.</t>
  </si>
  <si>
    <t>(9) Refer to Table 3.26.</t>
  </si>
  <si>
    <t>(10) Refer to Table 3.21 after subtracting out carrier-identified wasted mail.</t>
  </si>
  <si>
    <t>(12) Refer to Table 3.16.</t>
  </si>
  <si>
    <t>(13) Refer to Table 3.18.</t>
  </si>
  <si>
    <t>(14) Refer to Table 3.21 after subtracting out plant-intercepted wasted mail.</t>
  </si>
  <si>
    <t>(10) Refer to Table 3.18 after subtracting out carrier-identified nixie returned mail.</t>
  </si>
  <si>
    <t>(16) Refer to Table 3.21 after subtracting out plant-intercepted returned COA mail.</t>
  </si>
  <si>
    <t>(13) Refer to Table 3.21 after subtracting out carrier-identified returned COA mail.</t>
  </si>
  <si>
    <t>Delivery Unit Waste (1)</t>
  </si>
  <si>
    <t>CFS Unit COA Mail Waste (2)</t>
  </si>
  <si>
    <t>CFS Unit ACS Nixie Waste (3)</t>
  </si>
  <si>
    <t>(1) Mail that is wasted at the delivery unit.</t>
  </si>
  <si>
    <t>(2) Mail directly sent to CFS unit which is then wasted.</t>
  </si>
  <si>
    <t>(4) Refer to Table 3.15 and 3.16.</t>
  </si>
  <si>
    <t>(6) Refer to Table 3.15.</t>
  </si>
  <si>
    <t>Table 3.11 - Cost of Form 3547: Part 3 - All Forms</t>
  </si>
  <si>
    <t>(5) Refer to Table 3.38.</t>
  </si>
  <si>
    <t>Table 3.13 - Costs of Processing COA Cards (Form 3575, 3575Z, and 3546): Part 2 - Processing Modified/Deleted COAs</t>
  </si>
  <si>
    <t>Table 3.13 - Costs of Processing COA Cards (Form 3575, 3575Z, and 3546): Part 3 - REC Site Processing</t>
  </si>
  <si>
    <t>(4) Refer to Table 3.17.</t>
  </si>
  <si>
    <t>(1) Refer to Table 3.19.</t>
  </si>
  <si>
    <t>(4) Refer to Table 3.21.</t>
  </si>
  <si>
    <t>(3) Refer to Table 3.26.</t>
  </si>
  <si>
    <t>AFR Finalization</t>
  </si>
  <si>
    <t>CFS Processing</t>
  </si>
  <si>
    <t>Frequency</t>
  </si>
  <si>
    <t>Originating Postage Due Unit</t>
  </si>
  <si>
    <t>Destinating Accountable Mail Unit</t>
  </si>
  <si>
    <t>Collection Postage Due - Carrier</t>
  </si>
  <si>
    <t>Prepare and Mail Form 3546</t>
  </si>
  <si>
    <t>Total</t>
  </si>
  <si>
    <t>Volume</t>
  </si>
  <si>
    <t>Cost/Piece</t>
  </si>
  <si>
    <r>
      <t xml:space="preserve">Cost </t>
    </r>
    <r>
      <rPr>
        <u/>
        <sz val="10"/>
        <rFont val="Arial"/>
        <family val="2"/>
      </rPr>
      <t>Contribution</t>
    </r>
  </si>
  <si>
    <t>n/a</t>
  </si>
  <si>
    <t>HWY Contract</t>
  </si>
  <si>
    <t>ACS Nixie Processing</t>
  </si>
  <si>
    <r>
      <t>Volume</t>
    </r>
    <r>
      <rPr>
        <u/>
        <sz val="10"/>
        <rFont val="Arial"/>
        <family val="2"/>
      </rPr>
      <t xml:space="preserve"> (000s)</t>
    </r>
  </si>
  <si>
    <r>
      <t xml:space="preserve">Total Cost </t>
    </r>
    <r>
      <rPr>
        <u/>
        <sz val="10"/>
        <rFont val="Arial"/>
        <family val="2"/>
      </rPr>
      <t>(000s)</t>
    </r>
  </si>
  <si>
    <t>Form 3547 ave. batch size</t>
  </si>
  <si>
    <t>Form 3579 ave. batch size</t>
  </si>
  <si>
    <t>Form 3547 Distribution by category</t>
  </si>
  <si>
    <t>Photo and Treat as Waste</t>
  </si>
  <si>
    <t>Total Form 3547 Volume</t>
  </si>
  <si>
    <t>Total Form 3579 Volume</t>
  </si>
  <si>
    <t>Weighted</t>
  </si>
  <si>
    <t>Cost per piece</t>
  </si>
  <si>
    <t>Form 3547</t>
  </si>
  <si>
    <t>Photo and Forward</t>
  </si>
  <si>
    <t>Mailstream</t>
  </si>
  <si>
    <t>Accountable Mail Clerk</t>
  </si>
  <si>
    <t>Carrier Delivery/Collection of Postage Due</t>
  </si>
  <si>
    <t>On-Piece Corrections</t>
  </si>
  <si>
    <t>Total Form 3547</t>
  </si>
  <si>
    <t>Form 3579</t>
  </si>
  <si>
    <t>Total 3579</t>
  </si>
  <si>
    <t xml:space="preserve">Total </t>
  </si>
  <si>
    <t>ACS COA Notification</t>
  </si>
  <si>
    <t>Mechanized Terminal</t>
  </si>
  <si>
    <t>% of ACS</t>
  </si>
  <si>
    <t>TOTAL COST PER PIECE</t>
  </si>
  <si>
    <r>
      <t xml:space="preserve">Total </t>
    </r>
    <r>
      <rPr>
        <u/>
        <sz val="10"/>
        <rFont val="Arial"/>
        <family val="2"/>
      </rPr>
      <t>Cost/Piece</t>
    </r>
  </si>
  <si>
    <r>
      <t>Total</t>
    </r>
    <r>
      <rPr>
        <u/>
        <sz val="10"/>
        <rFont val="Arial"/>
        <family val="2"/>
      </rPr>
      <t xml:space="preserve"> Cost/Piece</t>
    </r>
  </si>
  <si>
    <t>City Carriers</t>
  </si>
  <si>
    <t>Rural Carriers</t>
  </si>
  <si>
    <t>PO Boxes</t>
  </si>
  <si>
    <t>Delivery Unit</t>
  </si>
  <si>
    <t>Weight</t>
  </si>
  <si>
    <r>
      <t xml:space="preserve">Actual Cost </t>
    </r>
    <r>
      <rPr>
        <u/>
        <sz val="10"/>
        <rFont val="Arial"/>
        <family val="2"/>
      </rPr>
      <t>Per Piece</t>
    </r>
  </si>
  <si>
    <t>1. CFS</t>
  </si>
  <si>
    <t>2. Mailstream</t>
  </si>
  <si>
    <t>3. Accountable Mail Clerk</t>
  </si>
  <si>
    <t>4. Carrier Delivery/Collection of Postage Due</t>
  </si>
  <si>
    <t>Total - Photo and Waste</t>
  </si>
  <si>
    <t>Total - Photo and Forward</t>
  </si>
  <si>
    <t>Letters</t>
  </si>
  <si>
    <t>Flats</t>
  </si>
  <si>
    <t>Parcels</t>
  </si>
  <si>
    <t>Total Delivery Unit Forward</t>
  </si>
  <si>
    <t>Total Delivery Unit RTS</t>
  </si>
  <si>
    <t>Accept and Clear</t>
  </si>
  <si>
    <t>Prepare and Distribute</t>
  </si>
  <si>
    <t>Collection of Postage Due</t>
  </si>
  <si>
    <t>Postage Due Mail Forwarded</t>
  </si>
  <si>
    <t>Sign For and Clear Accountable Items</t>
  </si>
  <si>
    <t>Postage Due/Address Correction Mail Returned</t>
  </si>
  <si>
    <r>
      <t xml:space="preserve">Weighted </t>
    </r>
    <r>
      <rPr>
        <u/>
        <sz val="10"/>
        <rFont val="Arial"/>
        <family val="2"/>
      </rPr>
      <t>Cost/Piece</t>
    </r>
  </si>
  <si>
    <t>Leave Notice</t>
  </si>
  <si>
    <t>Attempt Delivery</t>
  </si>
  <si>
    <t>Collect PD</t>
  </si>
  <si>
    <t>Process Refused Mail</t>
  </si>
  <si>
    <t>Total Cost/Piece for Postage Due Forwarded Mail</t>
  </si>
  <si>
    <r>
      <t xml:space="preserve">Labor </t>
    </r>
    <r>
      <rPr>
        <u/>
        <sz val="10"/>
        <rFont val="Arial"/>
        <family val="2"/>
      </rPr>
      <t>Rate</t>
    </r>
  </si>
  <si>
    <t>Refused Postage Due at Window</t>
  </si>
  <si>
    <t>Unit Costs</t>
  </si>
  <si>
    <t>Mail Processing +Transportation</t>
  </si>
  <si>
    <t>RTS Postage Due</t>
  </si>
  <si>
    <t>ACS Pieces</t>
  </si>
  <si>
    <t>Non-ACS Pieces</t>
  </si>
  <si>
    <t>Postage Due</t>
  </si>
  <si>
    <t>Percent</t>
  </si>
  <si>
    <t>Non ACS Processing Subtotals</t>
  </si>
  <si>
    <t>Non ACS Processing Costs</t>
  </si>
  <si>
    <t>ACS Keying Costs</t>
  </si>
  <si>
    <t>ACS Keying Subtotals</t>
  </si>
  <si>
    <t>Total: Non ACS Processing</t>
  </si>
  <si>
    <t>Total: ACS Keying</t>
  </si>
  <si>
    <t>Unit Cost</t>
  </si>
  <si>
    <t>Route/Window</t>
  </si>
  <si>
    <t>Accountables Unit</t>
  </si>
  <si>
    <t>Clerk Filing</t>
  </si>
  <si>
    <r>
      <t xml:space="preserve">Total Unit </t>
    </r>
    <r>
      <rPr>
        <u/>
        <sz val="10"/>
        <rFont val="Arial"/>
        <family val="2"/>
      </rPr>
      <t>Cost</t>
    </r>
  </si>
  <si>
    <t>Window Service</t>
  </si>
  <si>
    <t>Transportation Cost</t>
  </si>
  <si>
    <t>No Record Mail</t>
  </si>
  <si>
    <t>Unendorsed Bulk Business Mail (UBBM)</t>
  </si>
  <si>
    <t>check ---&gt;</t>
  </si>
  <si>
    <r>
      <t xml:space="preserve">Pieces/ </t>
    </r>
    <r>
      <rPr>
        <u/>
        <sz val="10"/>
        <rFont val="Arial"/>
        <family val="2"/>
      </rPr>
      <t>Hour</t>
    </r>
  </si>
  <si>
    <t>Volume of Form 3546 (000s) ---&gt;</t>
  </si>
  <si>
    <t>checks ---&gt;</t>
  </si>
  <si>
    <t>Piggyback factor ---&gt;</t>
  </si>
  <si>
    <t>check total mt cost ---&gt;</t>
  </si>
  <si>
    <t>check total fft cost ---&gt;</t>
  </si>
  <si>
    <t>check total cost ---&gt;</t>
  </si>
  <si>
    <t>check pd mt ---&gt;</t>
  </si>
  <si>
    <t>check pd fft ---&gt;</t>
  </si>
  <si>
    <t>check non-acs keying vol ---&gt;</t>
  </si>
  <si>
    <t>note: every piece gets a non-acs keying</t>
  </si>
  <si>
    <t>check acs mt keying vol ---&gt;</t>
  </si>
  <si>
    <t>note: only some pieces get acs keying</t>
  </si>
  <si>
    <t>check acs fft keying vol ---&gt;</t>
  </si>
  <si>
    <t>check pd mt vol ---&gt;</t>
  </si>
  <si>
    <t>note: only some pieces get pd processing</t>
  </si>
  <si>
    <t>check pd fft vol ---&gt;</t>
  </si>
  <si>
    <t>check acs keying vol ---&gt;</t>
  </si>
  <si>
    <t>Cost/ Piece</t>
  </si>
  <si>
    <r>
      <t xml:space="preserve">Adj Cost </t>
    </r>
    <r>
      <rPr>
        <u/>
        <sz val="10"/>
        <rFont val="Arial"/>
        <family val="2"/>
      </rPr>
      <t>Per Step</t>
    </r>
  </si>
  <si>
    <r>
      <t xml:space="preserve">Cost Per </t>
    </r>
    <r>
      <rPr>
        <u/>
        <sz val="10"/>
        <rFont val="Arial"/>
        <family val="2"/>
      </rPr>
      <t>Step</t>
    </r>
  </si>
  <si>
    <t>Collection Postage Due - Wind. Serv.</t>
  </si>
  <si>
    <t>Vol-Weighted</t>
  </si>
  <si>
    <t xml:space="preserve">   a. Keying and Labeling</t>
  </si>
  <si>
    <t xml:space="preserve">   d. Adjusted Subtotal</t>
  </si>
  <si>
    <t xml:space="preserve">   e. Clerk-Intercept Errors</t>
  </si>
  <si>
    <t xml:space="preserve">   f.  Total Adjusted Volume</t>
  </si>
  <si>
    <r>
      <t xml:space="preserve">COA Volume
</t>
    </r>
    <r>
      <rPr>
        <u/>
        <sz val="10"/>
        <rFont val="Arial"/>
        <family val="2"/>
      </rPr>
      <t>(000s)</t>
    </r>
  </si>
  <si>
    <r>
      <t xml:space="preserve">Overall Cost
</t>
    </r>
    <r>
      <rPr>
        <u/>
        <sz val="10"/>
        <rFont val="Arial"/>
        <family val="2"/>
      </rPr>
      <t>(000s)</t>
    </r>
  </si>
  <si>
    <r>
      <t xml:space="preserve">Total Cost
</t>
    </r>
    <r>
      <rPr>
        <u/>
        <sz val="10"/>
        <rFont val="Arial"/>
        <family val="2"/>
      </rPr>
      <t>(000s)</t>
    </r>
  </si>
  <si>
    <t>Delivery Unit Costs at Route</t>
  </si>
  <si>
    <t>All Pieces</t>
  </si>
  <si>
    <r>
      <t xml:space="preserve">Weighted Cost </t>
    </r>
    <r>
      <rPr>
        <u/>
        <sz val="10"/>
        <rFont val="Arial"/>
        <family val="2"/>
      </rPr>
      <t>Per Piece</t>
    </r>
  </si>
  <si>
    <r>
      <t xml:space="preserve">Volume
</t>
    </r>
    <r>
      <rPr>
        <u/>
        <sz val="10"/>
        <rFont val="Arial"/>
        <family val="2"/>
      </rPr>
      <t>(000s)</t>
    </r>
  </si>
  <si>
    <r>
      <t xml:space="preserve">Total Hours </t>
    </r>
    <r>
      <rPr>
        <u/>
        <sz val="10"/>
        <rFont val="Arial"/>
        <family val="2"/>
      </rPr>
      <t>(000s)</t>
    </r>
  </si>
  <si>
    <t>Rating Postage Due at the Nixie Unit</t>
  </si>
  <si>
    <t>Total Nixie Unit</t>
  </si>
  <si>
    <t>Direct/Indirect</t>
  </si>
  <si>
    <t>2. Flats Forwarding Terminal/Non-Mechanized Terminal</t>
  </si>
  <si>
    <t>Mach.</t>
  </si>
  <si>
    <t>NonMach.</t>
  </si>
  <si>
    <t>Waste Mail Verification</t>
  </si>
  <si>
    <t>check acs mt cost ---&gt;</t>
  </si>
  <si>
    <t>check acs fft cost ---&gt;</t>
  </si>
  <si>
    <t>Table</t>
  </si>
  <si>
    <t>Check Sum</t>
  </si>
  <si>
    <t>Notes:</t>
  </si>
  <si>
    <t>(1)</t>
  </si>
  <si>
    <t>Table 3.1 - Summary of Costs for Processing Undeliverable-As-Addressed Mail</t>
  </si>
  <si>
    <t>(2)</t>
  </si>
  <si>
    <t>(3)</t>
  </si>
  <si>
    <t>(4)</t>
  </si>
  <si>
    <t>(5)</t>
  </si>
  <si>
    <t>(6)</t>
  </si>
  <si>
    <t>(7)</t>
  </si>
  <si>
    <t>(8)</t>
  </si>
  <si>
    <r>
      <t>Piggyback</t>
    </r>
    <r>
      <rPr>
        <u/>
        <sz val="7.5"/>
        <rFont val="Arial"/>
        <family val="2"/>
      </rPr>
      <t xml:space="preserve"> </t>
    </r>
    <r>
      <rPr>
        <u/>
        <sz val="10"/>
        <rFont val="Arial"/>
        <family val="2"/>
      </rPr>
      <t>Factor (1)</t>
    </r>
  </si>
  <si>
    <r>
      <t xml:space="preserve">Piggyback </t>
    </r>
    <r>
      <rPr>
        <u/>
        <sz val="10"/>
        <rFont val="Arial"/>
        <family val="2"/>
      </rPr>
      <t>Factor (2)</t>
    </r>
  </si>
  <si>
    <t xml:space="preserve"> </t>
  </si>
  <si>
    <r>
      <t xml:space="preserve">Total Hours </t>
    </r>
    <r>
      <rPr>
        <u/>
        <sz val="10"/>
        <rFont val="Arial"/>
        <family val="2"/>
      </rPr>
      <t>(000s) (1)</t>
    </r>
  </si>
  <si>
    <r>
      <t xml:space="preserve">Overall Cost
</t>
    </r>
    <r>
      <rPr>
        <u/>
        <sz val="10"/>
        <rFont val="Arial"/>
        <family val="2"/>
      </rPr>
      <t>(000s) (1)</t>
    </r>
  </si>
  <si>
    <r>
      <t xml:space="preserve">Volume
</t>
    </r>
    <r>
      <rPr>
        <u/>
        <sz val="10"/>
        <rFont val="Arial"/>
        <family val="2"/>
      </rPr>
      <t>(000s) (1)</t>
    </r>
  </si>
  <si>
    <r>
      <t xml:space="preserve">Piggyback </t>
    </r>
    <r>
      <rPr>
        <u/>
        <sz val="10"/>
        <rFont val="Arial"/>
        <family val="2"/>
      </rPr>
      <t>Factor (1)</t>
    </r>
  </si>
  <si>
    <t>Volume (000s) (1)</t>
  </si>
  <si>
    <t>Originating Delivery Unit</t>
  </si>
  <si>
    <t>Destinating Delivery Unit</t>
  </si>
  <si>
    <t>Mail Processing &amp; Transportation</t>
  </si>
  <si>
    <t>Piggyback (2)</t>
  </si>
  <si>
    <r>
      <t xml:space="preserve">Error </t>
    </r>
    <r>
      <rPr>
        <u/>
        <sz val="10"/>
        <rFont val="Arial"/>
        <family val="2"/>
      </rPr>
      <t>Rate (3)</t>
    </r>
  </si>
  <si>
    <r>
      <t>Volume</t>
    </r>
    <r>
      <rPr>
        <u/>
        <sz val="10"/>
        <rFont val="Arial"/>
        <family val="2"/>
      </rPr>
      <t xml:space="preserve"> (000s) (1)</t>
    </r>
  </si>
  <si>
    <t>Photo and Discard</t>
  </si>
  <si>
    <t>On-Piece Notice</t>
  </si>
  <si>
    <t>Total Manual Address Correction Volume</t>
  </si>
  <si>
    <t xml:space="preserve">   b. No-Record Mail</t>
  </si>
  <si>
    <t xml:space="preserve">   c. No-Record Mail Errors</t>
  </si>
  <si>
    <t>(5) Assume that twice as many keystrokes are required to key ACS information as to key non-ACS information.</t>
  </si>
  <si>
    <t>(6) This productivity is developed by solving the ACS and non-ACS simultaneous equations for keying information.</t>
  </si>
  <si>
    <t>Total Cost/Piece for Postage Due Return-To-Sender Mail</t>
  </si>
  <si>
    <t>Activity</t>
  </si>
  <si>
    <t>Form 3575</t>
  </si>
  <si>
    <t>Grand Total</t>
  </si>
  <si>
    <t>All Shapes</t>
  </si>
  <si>
    <r>
      <t>Ave. Pieces/</t>
    </r>
    <r>
      <rPr>
        <u/>
        <sz val="10"/>
        <rFont val="Arial"/>
        <family val="2"/>
      </rPr>
      <t>Hour</t>
    </r>
  </si>
  <si>
    <r>
      <t>Marg. Pieces/</t>
    </r>
    <r>
      <rPr>
        <u/>
        <sz val="10"/>
        <rFont val="Arial"/>
        <family val="2"/>
      </rPr>
      <t>Hour</t>
    </r>
  </si>
  <si>
    <r>
      <t xml:space="preserve">Variability </t>
    </r>
    <r>
      <rPr>
        <u/>
        <sz val="10"/>
        <rFont val="Arial"/>
        <family val="2"/>
      </rPr>
      <t>Factor</t>
    </r>
  </si>
  <si>
    <t>Returned to Sender</t>
  </si>
  <si>
    <t>Nixie Unit RTS</t>
  </si>
  <si>
    <t>Hand Forwarded</t>
  </si>
  <si>
    <t>Subtotal</t>
  </si>
  <si>
    <t>Forwarded</t>
  </si>
  <si>
    <t>Wasted</t>
  </si>
  <si>
    <t>Returned To Sender</t>
  </si>
  <si>
    <t>Total - Nixie Unit</t>
  </si>
  <si>
    <t>ACS Nixie - Wasted at CFS Unit</t>
  </si>
  <si>
    <t>1. Mailstream: UAA Mail Directly Sent to Nixie Unit</t>
  </si>
  <si>
    <t>UAA Mail Directly Sent to Nixie Unit</t>
  </si>
  <si>
    <t>3. Mailstream: UAA Mail Directly Sent to Waste Receptacle</t>
  </si>
  <si>
    <t>UAA Mail Directly Sent to Waste Receptacle</t>
  </si>
  <si>
    <t>ACS Nixie - RTS from CFS Unit</t>
  </si>
  <si>
    <t>Total Directly Sent to Nixie Unit</t>
  </si>
  <si>
    <t>Forwarded Postage Due</t>
  </si>
  <si>
    <t>COA Mail Postage Due Activities</t>
  </si>
  <si>
    <t>COA Mail Activities, Excluding Postage Due Activities</t>
  </si>
  <si>
    <t>FF/NM Terminal</t>
  </si>
  <si>
    <t>check acsnix rts mt costs ---&gt;</t>
  </si>
  <si>
    <t>check acsnix rts fft costs ---&gt;</t>
  </si>
  <si>
    <t>check acsnix wst mt costs ---&gt;</t>
  </si>
  <si>
    <t>check acsnix wst fft costs ---&gt;</t>
  </si>
  <si>
    <t>check acsnix rts mt vol ---&gt;</t>
  </si>
  <si>
    <t>check acsnix rts fft vol ---&gt;</t>
  </si>
  <si>
    <t>check acsnix wst mt vol ---&gt;</t>
  </si>
  <si>
    <t>check acsnix wst fft vol ---&gt;</t>
  </si>
  <si>
    <t>check acsnix mt cost ---&gt;</t>
  </si>
  <si>
    <t>check acsnxi fft cost ---&gt;</t>
  </si>
  <si>
    <t>check acsnix total cost ---&gt;</t>
  </si>
  <si>
    <t>check acsnxi fft vol ---&gt;</t>
  </si>
  <si>
    <t>check acsnix total vol ---&gt;</t>
  </si>
  <si>
    <t>check acsnix mt vol ---&gt;</t>
  </si>
  <si>
    <t>Carrier Preparation</t>
  </si>
  <si>
    <t>ACS Keying Cost</t>
  </si>
  <si>
    <t>Clerk Handling - Sort By Reason</t>
  </si>
  <si>
    <t>CFS Postage Due Unit</t>
  </si>
  <si>
    <t>route module ---&gt;</t>
  </si>
  <si>
    <t>nixie module ---&gt;</t>
  </si>
  <si>
    <t>cfs module ---&gt;</t>
  </si>
  <si>
    <t>Total ---&gt;</t>
  </si>
  <si>
    <t>pd module ---&gt;</t>
  </si>
  <si>
    <t>Route</t>
  </si>
  <si>
    <t>Craft</t>
  </si>
  <si>
    <t>Nixie Unit</t>
  </si>
  <si>
    <t>CFS Unit</t>
  </si>
  <si>
    <t>Mailstream Processing &amp; Transportation</t>
  </si>
  <si>
    <t>Module</t>
  </si>
  <si>
    <t>Carrier/Clerk</t>
  </si>
  <si>
    <t>Clerk</t>
  </si>
  <si>
    <t>Cost</t>
  </si>
  <si>
    <t>($000)</t>
  </si>
  <si>
    <t>(000)</t>
  </si>
  <si>
    <t>Form 3547 Activities</t>
  </si>
  <si>
    <t>Form 3579 Activities</t>
  </si>
  <si>
    <t>Unit</t>
  </si>
  <si>
    <t>Sort/Transport</t>
  </si>
  <si>
    <t>Identify/Separate</t>
  </si>
  <si>
    <t>Clerk/MH</t>
  </si>
  <si>
    <t>Address Correction</t>
  </si>
  <si>
    <t>Forwarded (1)</t>
  </si>
  <si>
    <t>Processing &amp; Transport</t>
  </si>
  <si>
    <t>Accountable Unit</t>
  </si>
  <si>
    <t>Cost/Card</t>
  </si>
  <si>
    <r>
      <t xml:space="preserve">Total </t>
    </r>
    <r>
      <rPr>
        <u/>
        <sz val="10"/>
        <rFont val="Arial"/>
        <family val="2"/>
      </rPr>
      <t>Cost/Card</t>
    </r>
  </si>
  <si>
    <t>1. Photo and Forward</t>
  </si>
  <si>
    <t>2. Photo and Treat as Waste</t>
  </si>
  <si>
    <t>3. On Piece Notice</t>
  </si>
  <si>
    <t>ACS Nixie Notification</t>
  </si>
  <si>
    <t>ACS COA Processing</t>
  </si>
  <si>
    <t>Non-Letters</t>
  </si>
  <si>
    <t>Returned To Sender (2)</t>
  </si>
  <si>
    <t>Wasted (3)</t>
  </si>
  <si>
    <t>Nixie Work (4)</t>
  </si>
  <si>
    <t>Final Disposition</t>
  </si>
  <si>
    <t>Key/Label, Etc. (5)</t>
  </si>
  <si>
    <t>Hourly Wage - Clerk</t>
  </si>
  <si>
    <t>direct costs ---&gt;</t>
  </si>
  <si>
    <t>coa costs ---&gt;</t>
  </si>
  <si>
    <t>man note costs ---&gt;</t>
  </si>
  <si>
    <t>adm/spt costs ---&gt;</t>
  </si>
  <si>
    <t>Processing Original COAs</t>
  </si>
  <si>
    <t>Type</t>
  </si>
  <si>
    <t>Location</t>
  </si>
  <si>
    <t>Manual 3575</t>
  </si>
  <si>
    <t>W/S Clerk</t>
  </si>
  <si>
    <t>Manual 3575Z</t>
  </si>
  <si>
    <t>Carrier Filling Out Form</t>
  </si>
  <si>
    <t>Internet 3575</t>
  </si>
  <si>
    <t>Telephone 3575</t>
  </si>
  <si>
    <t>Craft/Activity</t>
  </si>
  <si>
    <t>Total -- Original COAs</t>
  </si>
  <si>
    <t>Processing Modified and Deleted COAs</t>
  </si>
  <si>
    <t>Modifications 3546</t>
  </si>
  <si>
    <t>Deletions 3575</t>
  </si>
  <si>
    <t>Total -- Modified/Deleted</t>
  </si>
  <si>
    <r>
      <t xml:space="preserve">Cards
</t>
    </r>
    <r>
      <rPr>
        <u/>
        <sz val="10"/>
        <rFont val="Arial"/>
        <family val="2"/>
      </rPr>
      <t>(000s) (1)</t>
    </r>
  </si>
  <si>
    <t>Plant</t>
  </si>
  <si>
    <t>Clerk/MH Processing</t>
  </si>
  <si>
    <t>Returned</t>
  </si>
  <si>
    <t>Volumes and Costs</t>
  </si>
  <si>
    <t>Costs (000s) (1)</t>
  </si>
  <si>
    <t>Letters (1)</t>
  </si>
  <si>
    <t>CFPS COA Scanning</t>
  </si>
  <si>
    <t>3982 Labeling</t>
  </si>
  <si>
    <t>Key From Paper</t>
  </si>
  <si>
    <t>Carrier Apply Stickers</t>
  </si>
  <si>
    <t>CFS/CIOSS Costs</t>
  </si>
  <si>
    <t>Mail Process &amp; Trans Costs</t>
  </si>
  <si>
    <t>ACS Nixie - Returned to Sender from CFS/CIOSS</t>
  </si>
  <si>
    <t>ACS Nixie - Wasted at CFS/CIOSS</t>
  </si>
  <si>
    <t>2. Mailstream: UAA Mail Directly Sent to CFS/CIOSS</t>
  </si>
  <si>
    <t>CFS/CIOSS - Forwarded</t>
  </si>
  <si>
    <t>CFS/CIOSS - Returned to Sender</t>
  </si>
  <si>
    <t>CFS/CIOSS - Wasted</t>
  </si>
  <si>
    <t>Total Directly Sent to CFS/CIOSS</t>
  </si>
  <si>
    <t>4. CFS/CIOSS No Record Mail &amp; UBBM</t>
  </si>
  <si>
    <t>5. Final Disposition Including CFS/CIOSS NRM &amp; UBBM</t>
  </si>
  <si>
    <t>UAA Mail Directly Sent to CFS/CIOSS</t>
  </si>
  <si>
    <t>CFS/CIOSS - Returned To Sender</t>
  </si>
  <si>
    <t>Total - CFS/CIOSS</t>
  </si>
  <si>
    <t>PARS Environment</t>
  </si>
  <si>
    <t>Mail Stream</t>
  </si>
  <si>
    <t>UAA Reason</t>
  </si>
  <si>
    <t>Moved, Active COA</t>
  </si>
  <si>
    <t>Mail Type</t>
  </si>
  <si>
    <t>ACS Nixie</t>
  </si>
  <si>
    <t>(1) CIOSS processing includes image lift, label application, and associated activities such as riffling.</t>
  </si>
  <si>
    <r>
      <t xml:space="preserve">Volume
</t>
    </r>
    <r>
      <rPr>
        <u/>
        <sz val="10"/>
        <rFont val="Arial"/>
        <family val="2"/>
      </rPr>
      <t>(000s) (2)</t>
    </r>
  </si>
  <si>
    <r>
      <t xml:space="preserve">Overall Cost
</t>
    </r>
    <r>
      <rPr>
        <u/>
        <sz val="10"/>
        <rFont val="Arial"/>
        <family val="2"/>
      </rPr>
      <t>(000s) (2)</t>
    </r>
  </si>
  <si>
    <r>
      <t xml:space="preserve">Piggyback </t>
    </r>
    <r>
      <rPr>
        <u/>
        <sz val="10"/>
        <rFont val="Arial"/>
        <family val="2"/>
      </rPr>
      <t>Factor (3)</t>
    </r>
  </si>
  <si>
    <t>Total CIF Mail</t>
  </si>
  <si>
    <t>Total INT Mail</t>
  </si>
  <si>
    <t>Non-ACS</t>
  </si>
  <si>
    <t>ACS</t>
  </si>
  <si>
    <t>Bad Address and Other</t>
  </si>
  <si>
    <t>Intercepted Mail (4)</t>
  </si>
  <si>
    <t>Carrier-Identified Forwards (7)</t>
  </si>
  <si>
    <t>Carrier-Identified Returns (8)</t>
  </si>
  <si>
    <t>Total CIR Mail</t>
  </si>
  <si>
    <t>(4) Mail that is intercepted by PARS-enabled machines during mail processing activities.</t>
  </si>
  <si>
    <r>
      <t xml:space="preserve">REC Total Cost
</t>
    </r>
    <r>
      <rPr>
        <u/>
        <sz val="10"/>
        <rFont val="Arial"/>
        <family val="2"/>
      </rPr>
      <t>(000s)</t>
    </r>
  </si>
  <si>
    <r>
      <t xml:space="preserve">REC Volume
</t>
    </r>
    <r>
      <rPr>
        <u/>
        <sz val="10"/>
        <rFont val="Arial"/>
        <family val="2"/>
      </rPr>
      <t>(000s)</t>
    </r>
  </si>
  <si>
    <r>
      <t xml:space="preserve">AFR Final Volume
</t>
    </r>
    <r>
      <rPr>
        <u/>
        <sz val="10"/>
        <rFont val="Arial"/>
        <family val="2"/>
      </rPr>
      <t>(000s)</t>
    </r>
  </si>
  <si>
    <t>COA Cards</t>
  </si>
  <si>
    <t>Total Mail</t>
  </si>
  <si>
    <r>
      <t xml:space="preserve">Input Volume
</t>
    </r>
    <r>
      <rPr>
        <u/>
        <sz val="10"/>
        <rFont val="Arial"/>
        <family val="2"/>
      </rPr>
      <t>(000s) (1)</t>
    </r>
  </si>
  <si>
    <r>
      <t xml:space="preserve">AFR Finalization </t>
    </r>
    <r>
      <rPr>
        <u/>
        <sz val="10"/>
        <rFont val="Arial"/>
        <family val="2"/>
      </rPr>
      <t>Rate (1)</t>
    </r>
  </si>
  <si>
    <t>Intercepted Mail (2)</t>
  </si>
  <si>
    <t>Carrier-Identified Forwards (5)</t>
  </si>
  <si>
    <t>Carrier-Identified Returns (6)</t>
  </si>
  <si>
    <t>Originals</t>
  </si>
  <si>
    <t>Mods/Deletes</t>
  </si>
  <si>
    <t>Total Card Images</t>
  </si>
  <si>
    <t>Total Mail Images</t>
  </si>
  <si>
    <t>Grand Total Images</t>
  </si>
  <si>
    <t>(2) Mail that is intercepted by PARS-enabled machines during mail processing activities.</t>
  </si>
  <si>
    <t>Returned (3)</t>
  </si>
  <si>
    <r>
      <t xml:space="preserve">REC Volume
</t>
    </r>
    <r>
      <rPr>
        <u/>
        <sz val="10"/>
        <rFont val="Arial"/>
        <family val="2"/>
      </rPr>
      <t>(000s) (1)</t>
    </r>
  </si>
  <si>
    <t>Returned (9)</t>
  </si>
  <si>
    <t>Non-CIOSS Mail</t>
  </si>
  <si>
    <t>CIOSS Reject Mail</t>
  </si>
  <si>
    <t>All Mail</t>
  </si>
  <si>
    <t>check all mail, COA ---&gt;</t>
  </si>
  <si>
    <t>check all mail, acsnix ---&gt;</t>
  </si>
  <si>
    <t>Letters Sent To CIOSS</t>
  </si>
  <si>
    <t>ACS Nixie - RTS</t>
  </si>
  <si>
    <t>ACS Nixie - Wasted</t>
  </si>
  <si>
    <t>All Other Letters</t>
  </si>
  <si>
    <t>RTS Diverted To MRC</t>
  </si>
  <si>
    <t>Total CIOSS Letters</t>
  </si>
  <si>
    <t>Total Other Letters</t>
  </si>
  <si>
    <t>All Other Shapes</t>
  </si>
  <si>
    <t>Total Other Shapes</t>
  </si>
  <si>
    <t>Total CIOSS Rejects</t>
  </si>
  <si>
    <t>All Other Mail</t>
  </si>
  <si>
    <t xml:space="preserve">(3) For CIOSS letters, there is no manual postage due rating in the nixie unit.  Rating is </t>
  </si>
  <si>
    <t>check form count ---&gt;</t>
  </si>
  <si>
    <t>check env count ---&gt;</t>
  </si>
  <si>
    <t>Total Form 3547 - CIOSS ---&gt;</t>
  </si>
  <si>
    <t>Total Form 3547 - All Forms ---&gt;</t>
  </si>
  <si>
    <t>CIOSS/CFS</t>
  </si>
  <si>
    <t>Forms Generated at All Locations</t>
  </si>
  <si>
    <r>
      <t xml:space="preserve">Forms per </t>
    </r>
    <r>
      <rPr>
        <u/>
        <sz val="10"/>
        <rFont val="Arial"/>
        <family val="2"/>
      </rPr>
      <t>Envelope</t>
    </r>
  </si>
  <si>
    <r>
      <t>Total Mailstream Processing</t>
    </r>
    <r>
      <rPr>
        <u/>
        <sz val="10"/>
        <rFont val="Arial"/>
        <family val="2"/>
      </rPr>
      <t xml:space="preserve"> Cost Per Envelope</t>
    </r>
  </si>
  <si>
    <t>CIOSS</t>
  </si>
  <si>
    <t>AFR</t>
  </si>
  <si>
    <t>REC</t>
  </si>
  <si>
    <t>Input</t>
  </si>
  <si>
    <t>Rejects</t>
  </si>
  <si>
    <t>Finalized</t>
  </si>
  <si>
    <t>COA Mail</t>
  </si>
  <si>
    <t>Nixie Mail</t>
  </si>
  <si>
    <t>Non-Forwardable Mail</t>
  </si>
  <si>
    <t>AFR Finalized</t>
  </si>
  <si>
    <t>REC Finalized</t>
  </si>
  <si>
    <t>CFS</t>
  </si>
  <si>
    <t>FF/NM Terminal (3)</t>
  </si>
  <si>
    <t>Mechanized Terminal (4)</t>
  </si>
  <si>
    <t>FF/NM Terminal (5)</t>
  </si>
  <si>
    <t>(4) Mechanized terminals are not operational in the PARS environment.</t>
  </si>
  <si>
    <t>AFR Finalized (6)</t>
  </si>
  <si>
    <t>ACS COA</t>
  </si>
  <si>
    <t>For some types of mail, image lift occurs on upstream, PARS-enabled machines such as AFCS, MLOCR, and DIOSS machines.</t>
  </si>
  <si>
    <r>
      <t xml:space="preserve">Hours
</t>
    </r>
    <r>
      <rPr>
        <u/>
        <sz val="10"/>
        <rFont val="Arial"/>
        <family val="2"/>
      </rPr>
      <t>(000s)</t>
    </r>
  </si>
  <si>
    <t>Non-PARS Pieces (2)</t>
  </si>
  <si>
    <t>(1) Refer to Table 3.11.</t>
  </si>
  <si>
    <t>CIOSS Processing</t>
  </si>
  <si>
    <t>COA Images</t>
  </si>
  <si>
    <t>CIF Forwarded</t>
  </si>
  <si>
    <t>CIF Returned</t>
  </si>
  <si>
    <t>CIF Wasted</t>
  </si>
  <si>
    <t>CIR Returned</t>
  </si>
  <si>
    <t>Clerk Handling - Verifying Waste</t>
  </si>
  <si>
    <t>CIOSS Rejects - Nixie Unit Processing</t>
  </si>
  <si>
    <t>CIOSS Rejects - CFS Unit Processing</t>
  </si>
  <si>
    <t>Non-PARS Pieces</t>
  </si>
  <si>
    <t>Plant-Intercepted Non-Forwardable Waste</t>
  </si>
  <si>
    <t>Plant-Intercepted COA Mail Waste</t>
  </si>
  <si>
    <t>Carrier-Identified COA Mail Waste</t>
  </si>
  <si>
    <t>Total Non-PARS Pieces</t>
  </si>
  <si>
    <t>Clerk Handling - Prep for CIOSS</t>
  </si>
  <si>
    <t>Delivery Unit Waste</t>
  </si>
  <si>
    <t>CFS Unit COA Mail Waste</t>
  </si>
  <si>
    <t>CFS Unit ACS Nixie Waste</t>
  </si>
  <si>
    <t>REC Site Finalization, Non-ACS Pieces</t>
  </si>
  <si>
    <t>Carrier-Identified ACS Nixie Mail Waste</t>
  </si>
  <si>
    <t>Plant-Intercepted ACS Nixie Mail Waste</t>
  </si>
  <si>
    <t>cioss module ---&gt;</t>
  </si>
  <si>
    <t>rec module ---&gt;</t>
  </si>
  <si>
    <t>Total PARS Pieces</t>
  </si>
  <si>
    <t>PARS Pieces</t>
  </si>
  <si>
    <t>Plant-Intercepted COA Mail RTS</t>
  </si>
  <si>
    <t>Carrier-Identified COA Mail RTS</t>
  </si>
  <si>
    <t>Plant-Intercepted ACS Nixie Mail RTS</t>
  </si>
  <si>
    <t>Carrier-Identified ACS Nixie Mail RTS</t>
  </si>
  <si>
    <t>Carrier-Identified Nixie Mail RTS</t>
  </si>
  <si>
    <t>Pieces</t>
  </si>
  <si>
    <t>Forwarded Mail</t>
  </si>
  <si>
    <t>Returned-To-Sender Mail</t>
  </si>
  <si>
    <r>
      <t xml:space="preserve">PARS </t>
    </r>
    <r>
      <rPr>
        <u/>
        <sz val="10"/>
        <rFont val="Arial"/>
        <family val="2"/>
      </rPr>
      <t>Pieces (000)</t>
    </r>
  </si>
  <si>
    <r>
      <t xml:space="preserve">Non-PARS </t>
    </r>
    <r>
      <rPr>
        <u/>
        <sz val="10"/>
        <rFont val="Arial"/>
        <family val="2"/>
      </rPr>
      <t>Pieces (000)</t>
    </r>
  </si>
  <si>
    <r>
      <t xml:space="preserve">Total </t>
    </r>
    <r>
      <rPr>
        <u/>
        <sz val="10"/>
        <rFont val="Arial"/>
        <family val="2"/>
      </rPr>
      <t>Pieces (000)</t>
    </r>
  </si>
  <si>
    <t>Downstream Activities</t>
  </si>
  <si>
    <t>mp trans module ---&gt;</t>
  </si>
  <si>
    <t>Delivery Unit RTS</t>
  </si>
  <si>
    <t>Clerk Handling - Prep/Mark Up</t>
  </si>
  <si>
    <t>CFS Unit COA Mail RTS</t>
  </si>
  <si>
    <t>CFS Unit ACS Nixie RTS</t>
  </si>
  <si>
    <t>Table 3.3 - Cost of Forwarded UAA Mail, PARS Pieces</t>
  </si>
  <si>
    <t>Plant-Intercepted COA Mail Forwarded</t>
  </si>
  <si>
    <t>Carrier-Identified COA Mail Forwarded</t>
  </si>
  <si>
    <t>Delivery Unit Hand Forwarded</t>
  </si>
  <si>
    <t>CFS Unit COA Mail Forwarded</t>
  </si>
  <si>
    <t>Activities Directly Associated with UAA Mail -- PARS Pieces</t>
  </si>
  <si>
    <t>Activities Directly Associated with UAA Mail -- Non-PARS Pieces</t>
  </si>
  <si>
    <t>REC Site</t>
  </si>
  <si>
    <t>Image Lift/Label</t>
  </si>
  <si>
    <t>Activities Directly Associated with UAA Mail -- All Pieces</t>
  </si>
  <si>
    <t>PARS</t>
  </si>
  <si>
    <t>Non-PARS</t>
  </si>
  <si>
    <t>Clerk Keying</t>
  </si>
  <si>
    <t>REC Site Processing</t>
  </si>
  <si>
    <t>Total -- REC Site</t>
  </si>
  <si>
    <t>Total Cost ($000)</t>
  </si>
  <si>
    <t>Machinable Letters</t>
  </si>
  <si>
    <t>Non-Machinable Letters</t>
  </si>
  <si>
    <t>Machinable Parcels</t>
  </si>
  <si>
    <t>Non-Machinable Parcels</t>
  </si>
  <si>
    <t>All Forwarded Pieces</t>
  </si>
  <si>
    <t>All RTS Pieces</t>
  </si>
  <si>
    <t>Non-Machinable Letters (1)</t>
  </si>
  <si>
    <t>(1)  PARS letters rejected from the CIOSS machine.</t>
  </si>
  <si>
    <t>Table 3.2 - Cost of Forwarded UAA Mail, All Pieces</t>
  </si>
  <si>
    <t>Table 3.4 - Cost of Forwarded UAA Mail, Non-PARS Pieces</t>
  </si>
  <si>
    <t>Table 3.5 - Cost of Returned-to-Sender UAA Mail, All Pieces</t>
  </si>
  <si>
    <t>Table 3.7 - Cost of Returned-to-Sender UAA Mail, Non-PARS Pieces</t>
  </si>
  <si>
    <t>Table 3.8 - Cost of Wasted UAA Mail, All Pieces</t>
  </si>
  <si>
    <t>Table 3.9 - Cost of Wasted UAA Mail, PARS Pieces</t>
  </si>
  <si>
    <t>Table 3.10 - Cost of Wasted UAA Mail, Non-PARS Pieces</t>
  </si>
  <si>
    <t>Table 3.11 - Cost of Form 3547: Part 1 - Forms Generated on CIOSS Machines</t>
  </si>
  <si>
    <t>Table 3.12 - Cost of Form 3579</t>
  </si>
  <si>
    <t>Table 3.13 - Costs of Processing COA Cards (Form 3575, 3575Z, and 3546): Part 1 - Processing Original COAs</t>
  </si>
  <si>
    <t>UAA Baseline Cost Model Tables</t>
  </si>
  <si>
    <t>Table 3.18 - Cost of UAA at the Originating Nixie Unit (Excluding Postage Due Processing)</t>
  </si>
  <si>
    <t>Table 3.19 - Summary of Cost of UAA at CFS Unit: Part 1 - Non-CIOSS Mail</t>
  </si>
  <si>
    <t>Table 3.20 - Non-CIOSS Mail CFS Processing Costs: Part 1 - COA Mail Activities, Excluding Postage Due</t>
  </si>
  <si>
    <t>Table 3.21 - CIOSS Reject Mail CFS Processing Costs: Part 1 - COA Mail Activities, Excluding Postage Due</t>
  </si>
  <si>
    <t>Table 3.22 - CFS COA Mail Keying and Labeling Productivities</t>
  </si>
  <si>
    <t>Table 3.24 - Detailed CIOSS Processing Cost (1), Machinable Letters</t>
  </si>
  <si>
    <t>Forwarded (6)</t>
  </si>
  <si>
    <t>Returned To Sender (7)</t>
  </si>
  <si>
    <t>Wasted (8)</t>
  </si>
  <si>
    <t>COA Card Processing (9)</t>
  </si>
  <si>
    <t>(1) UAA PARS mail that is forwarded to a new destination address.  Refer to Table 3.3.</t>
  </si>
  <si>
    <t>(2) UAA PARS mail that is returned to the sender's address.  Refer to Table 3.6.</t>
  </si>
  <si>
    <t>(3) UAA PARS mail that is wasted based on USPS UAA regulations.  Refer to Table 3.9.</t>
  </si>
  <si>
    <t>(6) UAA non-PARS mail that is forwarded to a new destination address.  Refer to Table 3.4.</t>
  </si>
  <si>
    <t>(7) UAA non-PARS mail that is returned to the sender's address.  Refer to Table 3.7.</t>
  </si>
  <si>
    <t>(9) Refer to Table 3.13. Includes Forms 3575, 3575Z, and 3546.</t>
  </si>
  <si>
    <t>PARS Pieces (1)</t>
  </si>
  <si>
    <t>(1) Refer to Table 3.3.</t>
  </si>
  <si>
    <t>(2) Refer to Table 3.4.</t>
  </si>
  <si>
    <t>Plant-Intercepted COA Mail Forwarded (1)</t>
  </si>
  <si>
    <t>Carrier-Identified COA Mail Forwarded (2)</t>
  </si>
  <si>
    <t>Downstream Activities (3)</t>
  </si>
  <si>
    <t>(2) COA mail that is identified by carriers at the original delivery unit as being forwarded.</t>
  </si>
  <si>
    <t>(3) Activities that occur after mail has been redirected.</t>
  </si>
  <si>
    <t>(9)</t>
  </si>
  <si>
    <t>(4) Refer to Table 3.24.</t>
  </si>
  <si>
    <t>(6) Refer to Table 3.26.</t>
  </si>
  <si>
    <t>(8) Refer to Table 3.21.</t>
  </si>
  <si>
    <t>(10)</t>
  </si>
  <si>
    <t>(11)</t>
  </si>
  <si>
    <t>(9) Refer to Table 3.16.</t>
  </si>
  <si>
    <t>(10) Refer to Table 3.18.</t>
  </si>
  <si>
    <t>(12)</t>
  </si>
  <si>
    <t>(13)</t>
  </si>
  <si>
    <t>(14)</t>
  </si>
  <si>
    <t>(15)</t>
  </si>
  <si>
    <t>(16)</t>
  </si>
  <si>
    <t>Delivery Unit Hand Forwarded (1)</t>
  </si>
  <si>
    <t>CFS Unit COA Mail Forwarded (2)</t>
  </si>
  <si>
    <t>(1) Mail being hand forwarded from the delivery unit.</t>
  </si>
  <si>
    <t>(2) Mail directly sent to CFS unit which is then forwarded.</t>
  </si>
  <si>
    <t>(4) Refer to Table 3.15.</t>
  </si>
  <si>
    <t>(5) Refer to Table 3.18.</t>
  </si>
  <si>
    <t>(7) Refer to Table 3.20.</t>
  </si>
  <si>
    <t>(9) Refer to Table 3.35.</t>
  </si>
  <si>
    <t>(1) Refer to Table 3.6.</t>
  </si>
  <si>
    <t>(2) Refer to Table 3.7.</t>
  </si>
  <si>
    <t>Plant-Intercepted COA Mail RTS (2)</t>
  </si>
  <si>
    <t>Carrier-Identified COA Mail RTS (3)</t>
  </si>
  <si>
    <t>Carrier-Identified Nixie Mail RTS (4)</t>
  </si>
  <si>
    <t>Plant-Intercepted ACS Nixie Mail RTS (5)</t>
  </si>
  <si>
    <t>Carrier-Identified ACS Nixie Mail RTS (6)</t>
  </si>
  <si>
    <t>Downstream Activities (7)</t>
  </si>
  <si>
    <t>(3) COA mail that is identified by carriers at the original delivery unit as being RTS.</t>
  </si>
  <si>
    <t>(4) Nixie mail that is identified by carriers at the original delivery unit as being RTS.</t>
  </si>
  <si>
    <t>(7) Activities that occur after mail has been redirected.</t>
  </si>
  <si>
    <t>(8) Refer to Table 3.24.</t>
  </si>
  <si>
    <t>(7) Refer to Table 3.21 after subtracting out carrier-identified forwarded mail.</t>
  </si>
  <si>
    <t>(11) Refer to Table 3.21 after subtracting out plant-intercepted forwarded mail.</t>
  </si>
  <si>
    <t>(11) Refer to Table 3.18.</t>
  </si>
  <si>
    <t>(12) Refer to Table 3.26.</t>
  </si>
  <si>
    <t>(11) Refer to Table 3.21.</t>
  </si>
  <si>
    <t>(14) Refer to Table 3.21.</t>
  </si>
  <si>
    <t>(15) Refer to Table 3.16.</t>
  </si>
  <si>
    <t>(17)</t>
  </si>
  <si>
    <t>(18)</t>
  </si>
  <si>
    <t>(19)</t>
  </si>
  <si>
    <t>(20)</t>
  </si>
  <si>
    <t>(21)</t>
  </si>
  <si>
    <t>(22)</t>
  </si>
  <si>
    <t>(23)</t>
  </si>
  <si>
    <t>(24)</t>
  </si>
  <si>
    <t>Delivery Unit RTS (1)</t>
  </si>
  <si>
    <t>CFS Unit COA Mail RTS (2)</t>
  </si>
  <si>
    <t>CFS Unit ACS Nixie RTS (3)</t>
  </si>
  <si>
    <t>Downstream Activities (4)</t>
  </si>
  <si>
    <t>(1) Mail being returned from the delivery unit.</t>
  </si>
  <si>
    <t>(2) Mail directly sent to CFS unit which is then returned to sender.</t>
  </si>
  <si>
    <t>(4) Activities that occur after mail has been redirected.</t>
  </si>
  <si>
    <t>(5) Refer to Table 3.15.</t>
  </si>
  <si>
    <t>(6) Refer to Table 3.18.</t>
  </si>
  <si>
    <t>(8) Refer to Table 3.20.</t>
  </si>
  <si>
    <t>(1) Refer to Table 3.9.</t>
  </si>
  <si>
    <t>(2) Refer to Table 3.10.</t>
  </si>
  <si>
    <t>Plant-Intercepted Non-Forwardable Waste (1)</t>
  </si>
  <si>
    <t>Plant-Intercepted COA Mail Waste (2)</t>
  </si>
  <si>
    <t>Carrier-Identified COA Mail Waste (3)</t>
  </si>
  <si>
    <t>Plant-Intercepted ACS Nixie Mail Waste (4)</t>
  </si>
  <si>
    <t>Carrier-Identified ACS Nixie Mail Waste (5)</t>
  </si>
  <si>
    <t>Table 3.19 - Summary of Cost of UAA at CFS Unit: Part 2 - CIOSS Reject Mail</t>
  </si>
  <si>
    <t>Table 3.19 - Summary of Cost of UAA at CFS Unit: Part 3 - All Mail</t>
  </si>
  <si>
    <t>(2) Refer to Table 3.20.</t>
  </si>
  <si>
    <t>Table 3.20 - Non-CIOSS Mail CFS Processing Costs: Part 2 - COA Mail Postage Due Activities</t>
  </si>
  <si>
    <t>Table 3.20 - Non-CIOSS Mail CFS Processing Costs: Part 3 - ACS Nixie Mail Activities</t>
  </si>
  <si>
    <t>Table 3.21 - CIOSS Reject Mail CFS Processing Costs: Part 2 - COA Mail Postage Due Activities</t>
  </si>
  <si>
    <t>Table 3.21- CIOSS Reject Mail CFS Processing Costs: Part 3 - ACS Nixie Mail Activities</t>
  </si>
  <si>
    <t>(1) Refer to Table 3.24.</t>
  </si>
  <si>
    <t>Moved, Non-Forwardable (6)</t>
  </si>
  <si>
    <t>(6) Unendorsed Standard Mail and BPM Mail associated with an active COA.  These pieces are not forwardable.</t>
  </si>
  <si>
    <t>(8) Mail with a bad address or other nixie reason that is identified by a carrier.</t>
  </si>
  <si>
    <t>(1) Refer to Table 3.26.</t>
  </si>
  <si>
    <t>(4) Unendorsed Standard Mail and BPM Mail associated with an active COA.  These pieces are not forwardable.</t>
  </si>
  <si>
    <t>Moved, Non-Forwardable (4)</t>
  </si>
  <si>
    <t>Moved, Non- Forwardable (4)</t>
  </si>
  <si>
    <t>(6) Mail with a bad address or other nixie reason that is identified by a carrier.</t>
  </si>
  <si>
    <t>(2)  Refer to Table 3.3.</t>
  </si>
  <si>
    <t>(5)  Refer to Table 3.6.</t>
  </si>
  <si>
    <t xml:space="preserve">      automated as part of the CIOSS label-generation process.</t>
  </si>
  <si>
    <t>Processing and Transport Unit Cost, Form 3547</t>
  </si>
  <si>
    <t>Processing and Transport Unit Cost, Form 3579</t>
  </si>
  <si>
    <t>(3) Refer to Table 3.12.</t>
  </si>
  <si>
    <t>(1) Pieces that are processed in the PARS system, including CIOSS rejects.</t>
  </si>
  <si>
    <t>(2) Pieces that are not processed in the PARS system.</t>
  </si>
  <si>
    <t>(5) ACS letter mail that is rejected from CIOSS machines is processed at the CFS unit.</t>
  </si>
  <si>
    <t>Table 3.15 - Cost of UAA at the Originating Delivery Unit Route, Non-PARS Pieces (Part 1)</t>
  </si>
  <si>
    <t>Table 3.26 - Detailed REC Site Processing Cost (1), Non-ACS Keying, Machinable Letters and COA Cards</t>
  </si>
  <si>
    <t>Table 3.27 - Detailed REC Site Processing Cost (1), ACS Keying, Machinable Letters and COA Cards</t>
  </si>
  <si>
    <r>
      <t xml:space="preserve">Non-ACS Keying Cost
</t>
    </r>
    <r>
      <rPr>
        <u/>
        <sz val="10"/>
        <rFont val="Arial"/>
        <family val="2"/>
      </rPr>
      <t>(000s) (1)</t>
    </r>
  </si>
  <si>
    <t>REC Site Finalization, ACS Pieces (17)</t>
  </si>
  <si>
    <t>REC Site Finalization, ACS Pieces (25)</t>
  </si>
  <si>
    <t>(5) Refer to Table 3.28.</t>
  </si>
  <si>
    <t>(12) Refer to Table 3.35.</t>
  </si>
  <si>
    <t>(13) Refer to Table 3.30.</t>
  </si>
  <si>
    <t>(14) Refer to Table 3.32.</t>
  </si>
  <si>
    <t>(15) Refer to Table 3.33.</t>
  </si>
  <si>
    <t>(16) Refer to Table 3.34.</t>
  </si>
  <si>
    <t>(8) Refer to Table 3.35.</t>
  </si>
  <si>
    <t>(9) Refer to Table 3.36.</t>
  </si>
  <si>
    <t>(10) Refer to Table 3.30.</t>
  </si>
  <si>
    <t>(11) Refer to Table 3.32.</t>
  </si>
  <si>
    <t>(12) Refer to Table 3.33.</t>
  </si>
  <si>
    <t>(13) Refer to Table 3.34.</t>
  </si>
  <si>
    <t>(9) Refer to Table 3.28.</t>
  </si>
  <si>
    <t>(20) Refer to Table 3.35.</t>
  </si>
  <si>
    <t>(21) Refer to Table 3.30.</t>
  </si>
  <si>
    <t>(22) Refer to Table 3.32.</t>
  </si>
  <si>
    <t>(23) Refer to Table 3.33.</t>
  </si>
  <si>
    <t>(24) Refer to Table 3.34.</t>
  </si>
  <si>
    <t>(7) Refer to Table 3.31.</t>
  </si>
  <si>
    <t>(7) Refer to Table 3.28.</t>
  </si>
  <si>
    <t>(3) Refer to Table 3.40.</t>
  </si>
  <si>
    <t>(1) Refer to Table 3.28.</t>
  </si>
  <si>
    <t>(3)  Refer to Table 3.29.</t>
  </si>
  <si>
    <t>(2) Refer to Table 3.32.</t>
  </si>
  <si>
    <t>(3) Refer to Table 3.33.</t>
  </si>
  <si>
    <t>(4) Refer to Table 3.34.</t>
  </si>
  <si>
    <t>(3) Based on the cost of forwarded letters, Table 3.29.</t>
  </si>
  <si>
    <t>(4) Refer to Table 3.38.</t>
  </si>
  <si>
    <t>(3) Refer to Table 3.37.</t>
  </si>
  <si>
    <t>(2) Refer to Table 3.37.</t>
  </si>
  <si>
    <t>(3) Refer to Table 3.42.</t>
  </si>
  <si>
    <t>Table 3.28 - Derivation of Volumes Processed at REC Site, Machinable UAA Letters and COA Cards</t>
  </si>
  <si>
    <t>Table 3.29 - Derivation of UAA Mail in Mail Processing and Transportation Unit Costs</t>
  </si>
  <si>
    <t>Table 3.30 - Cost of UAA Mail in Mail Processing and Transportation</t>
  </si>
  <si>
    <t>Table 3.31 - Cost of Rating Postage Due Mail at the Originating Nixie Unit</t>
  </si>
  <si>
    <t>Table 3.32 - Accountable Mail Unit, Cost of Processing UAA Postage Due Mail</t>
  </si>
  <si>
    <t>Table 3.33 - Carrier Cost for Delivering UAA Postage Due Mail</t>
  </si>
  <si>
    <t>Table 3.34 - Cost of Collecting Postage Due on UAA Mail at the Window</t>
  </si>
  <si>
    <t>Table 3.35 - Postage Due Volume Flows, PARS and Non-PARS Pieces</t>
  </si>
  <si>
    <t>Table 3.36 - Cost of Processing Form 3546</t>
  </si>
  <si>
    <t xml:space="preserve">Table 3.37 - Address Correction Service Inputs </t>
  </si>
  <si>
    <t>Table 3.40 - Mail Processing Costs for Forms</t>
  </si>
  <si>
    <t>Table 3.41 - Address Correction Service, Manual Notice Unit Cost</t>
  </si>
  <si>
    <t>Table 3.42 - Summary of Volume Flows (000)</t>
  </si>
  <si>
    <t>(1) Based on unit cost proxies from Table 3.29.</t>
  </si>
  <si>
    <t>Table 3.38 - Distribution of Form 3547 by Notification Method and Location</t>
  </si>
  <si>
    <t>Forms Based on Letters</t>
  </si>
  <si>
    <t>Previously Processed at CFS (3)</t>
  </si>
  <si>
    <t>Previously Processed at Nixie Unit (3)</t>
  </si>
  <si>
    <t>Total Forms Based on Letters</t>
  </si>
  <si>
    <t>Form 3547 Type</t>
  </si>
  <si>
    <t>Volume (000) (1)</t>
  </si>
  <si>
    <t>Volume (000) (2)</t>
  </si>
  <si>
    <t>Forms Based on Non-Letters</t>
  </si>
  <si>
    <t>Processed at CFS Unit</t>
  </si>
  <si>
    <t>Processed at Nixie Unit</t>
  </si>
  <si>
    <t>Total Forms Based on Non-Letters</t>
  </si>
  <si>
    <t>Forms Previously Processed or</t>
  </si>
  <si>
    <t>Total Forms</t>
  </si>
  <si>
    <t>(3)  In a PARS environment, the pieces for these forms are identified on the CIOSS machine.</t>
  </si>
  <si>
    <t xml:space="preserve">      The forms themselves are generated at NCSC.</t>
  </si>
  <si>
    <t>Form 3547 Volume - CFS/CIOSS</t>
  </si>
  <si>
    <t>Form 3547 Volume - Nixie</t>
  </si>
  <si>
    <t>Form 3579 Volume - CFS</t>
  </si>
  <si>
    <t>Form 3579 Volume - Nixie</t>
  </si>
  <si>
    <t>Form 3547 - From CFS</t>
  </si>
  <si>
    <t>Form 3547 - From NCSC</t>
  </si>
  <si>
    <r>
      <t xml:space="preserve">Total Mailstream Processing </t>
    </r>
    <r>
      <rPr>
        <u/>
        <sz val="10"/>
        <rFont val="Arial"/>
        <family val="2"/>
      </rPr>
      <t>Cost per Mailpiece</t>
    </r>
  </si>
  <si>
    <t>Forms Generated at CIOSS/NCSC</t>
  </si>
  <si>
    <t>1. CIOSS/NCSC</t>
  </si>
  <si>
    <t>Forms Generated at CFS Units/Nixie Units</t>
  </si>
  <si>
    <t>2. Nixie Unit</t>
  </si>
  <si>
    <t>3. Mailstream</t>
  </si>
  <si>
    <t>4. Accountable Mail Clerk</t>
  </si>
  <si>
    <t>5. Carrier Delivery/Collection of Postage Due</t>
  </si>
  <si>
    <t>Total Form 3547 - CFS/Nixie ---&gt;</t>
  </si>
  <si>
    <t>1. CIOSS/NCSC &amp; CFS</t>
  </si>
  <si>
    <t>(6) Forms generated at CIOSS/NCSC are not consolidated into envelopes.</t>
  </si>
  <si>
    <t>(2) CIOSS/NCSC operations require no clerk work to generate address correction forms.</t>
  </si>
  <si>
    <t>(3) Refer to Table 3.40.  CIOSS/NCSC forms have a lower unit cost due to presorting.</t>
  </si>
  <si>
    <t>(9) Forms consolidated into envelopes.  Refer to Table 3.40 for factor.</t>
  </si>
  <si>
    <t>Table 3.11 - Cost of Form 3547: Part 2 - Forms Generated at CFS Units/Nixie Units</t>
  </si>
  <si>
    <t>Forms Generated at CFS Units and Nixie Units</t>
  </si>
  <si>
    <t>Total Form 3579</t>
  </si>
  <si>
    <t>(2) Refer to Table 3.40.</t>
  </si>
  <si>
    <t>(4) Refer to Table 3.39.</t>
  </si>
  <si>
    <t>(6) Forms consolidated into envelopes.  Refer to Table 3.40 for factor.</t>
  </si>
  <si>
    <t>Table 3.39 - Distribution of Form 3579 by Location</t>
  </si>
  <si>
    <t>Table 3.43 - Address Correction Service, Address Change Service (ACS) Electronic Notice Unit Cost Derivation</t>
  </si>
  <si>
    <t>Nixie Clerk Handling</t>
  </si>
  <si>
    <t>Electronic Notice Processing</t>
  </si>
  <si>
    <t>ACS COA Mail Activities at CIOSS/REC/CFS (10)</t>
  </si>
  <si>
    <t>ACS Nixie Mail Activities at CIOSS/REC/CFS (10)</t>
  </si>
  <si>
    <t>ACS Nixie Mail Activities at Nixie Unit (11)</t>
  </si>
  <si>
    <t>Manual Notice Processing (12)</t>
  </si>
  <si>
    <t>Table 3.44 - Address Correction Service, Address Change Service (ACS) Electronic Notice Unit Cost Derivation</t>
  </si>
  <si>
    <t>acs processing costs ---&gt;</t>
  </si>
  <si>
    <t>(1) Refer to Table 3.37.</t>
  </si>
  <si>
    <t>(4) Excludes activities associated with ACS nixie mail.</t>
  </si>
  <si>
    <t>(5) Excludes keying of Address Change Service (ACS) participant and keyline codes.</t>
  </si>
  <si>
    <t>Plant-Intercepted Old COA RTS (1)</t>
  </si>
  <si>
    <t>(1) Old COA mail (COA age 13-18 months) that is intercepted and returned.</t>
  </si>
  <si>
    <t>(17) Refer to Table 3.18 after subtracting out plant-intercepted old COA returned mail.</t>
  </si>
  <si>
    <t>CFS/CIOSS, Mail Process &amp; Trans</t>
  </si>
  <si>
    <t>Address Change Service (ACS) Nixie Mail Activities (3)</t>
  </si>
  <si>
    <t>Address Change Service (ACS) Nixie Mail Activities</t>
  </si>
  <si>
    <t>1. Mechanized Terminal (8)</t>
  </si>
  <si>
    <t xml:space="preserve">   g.  ACS Volume (7)</t>
  </si>
  <si>
    <t xml:space="preserve">   h.  Non-ACS Volume (7)</t>
  </si>
  <si>
    <t>PARS Environment, FY 23</t>
  </si>
  <si>
    <t>(1) Based on FY 23 piggyback factors.</t>
  </si>
  <si>
    <t>(7) Refer to PARS 23 Baseline Cost Model, CFS Module.</t>
  </si>
  <si>
    <t>(8) Refer to PARS 23 Baseline Cost Model, Nixie Module.</t>
  </si>
  <si>
    <t>(4) Refer to PARS 23 Baseline Cost Model, Postage Due Module.</t>
  </si>
  <si>
    <t>(3) Refer to PARS 23 Baseline Cost Model, Postage Due Module.</t>
  </si>
  <si>
    <t>(5) Refer to PARS 23 Baseline Cost Model, CFS Module.</t>
  </si>
  <si>
    <t>(7) Refer to PARS 23 Baseline Cost Model, Nixie Module.</t>
  </si>
  <si>
    <t>(2) Based on FY 23 piggyback factors.</t>
  </si>
  <si>
    <t>(1) Refer to PARS 23 Baseline Cost Model, Route Module.</t>
  </si>
  <si>
    <t>(3) Based on FCS database 04 adjusted for PARS environment and FY 23 growth.  Refer to PARS 23 Baseline Cost Model, Route Module.</t>
  </si>
  <si>
    <t>(3) Refer to PARS 23 Baseline Cost Model, Route Module and CFS Module.</t>
  </si>
  <si>
    <t>(4) Refer to PARS 23 Baseline Cost Model, Mail Processing and Transportation Module.</t>
  </si>
  <si>
    <t>(1) Refer to PARS 23 Baseline Cost Model, Nixie Module.</t>
  </si>
  <si>
    <t>(3) Includes keying, loading, &amp; sweeping.  Refer to PARS 23 Baseline Cost Model, CFS Module.</t>
  </si>
  <si>
    <t>(1) Refer to PARS 23 Baseline Cost Model, CFS Module.</t>
  </si>
  <si>
    <t>(1) Refer to PARS 23 Baseline CFS Module.</t>
  </si>
  <si>
    <t>(1) Refer to FCS Database 04, USPS-LR-L-61.</t>
  </si>
  <si>
    <t>(2) Based on Delivery Unit Route Survey, USPS-LR-L-61.</t>
  </si>
  <si>
    <t>(3) Wrong extract code entered; piece rekeyed.  From CFS Unit Rekey Survey, USPS-LR-L-61.</t>
  </si>
  <si>
    <t>(4) Two or more labels generated for one piece.  From CFS Unit Rekey Survey, USPS-LR-L-61.</t>
  </si>
  <si>
    <t>(3) Based on FY 23 piggyback factors.</t>
  </si>
  <si>
    <t>(2) Refer to PARS 23 Baseline Cost Model, CIOSS Module.</t>
  </si>
  <si>
    <t>(2) Refer to PARS 23 Baseline Cost Model, REC Module.</t>
  </si>
  <si>
    <t>(1) Refer to PARS 23 Baseline Cost Model, REC Module.  CIOSS rejects excluded.</t>
  </si>
  <si>
    <t>(3) Based on CRA FY 23 C/S 14 First-Class Mail transportation (all shapes), USPS-LR-L-7.</t>
  </si>
  <si>
    <t>(1) Refer to PARS 23 Baseline Cost Model, Mail Processing and Transportation Module.  Savings associated with the obsolete automation portion of the RTS program are realized in the CIOSS and REC Modules.</t>
  </si>
  <si>
    <t>(1) Refer to PARS 23 Baseline Cost Model, Postage Due Module.</t>
  </si>
  <si>
    <t>(1) Refer to PARS 23 Baseline Cost Model, CIOSS Module.</t>
  </si>
  <si>
    <t>(2) Refer to PARS 23 Baseline Cost Model, Postage Due Module.</t>
  </si>
  <si>
    <t>(7) Based on FY 23 labor rates.</t>
  </si>
  <si>
    <t>(1) Developed from CFS Unit 3547 Batching Survey, USPS-LR-L-61.</t>
  </si>
  <si>
    <t>(5) Based on Delivery Unit Route Survey, USPS-LR-L-61, adjusted for TY 08 volume growth.</t>
  </si>
  <si>
    <t>(6) Based on Delivery Unit Nixie Survey, USPS-LR-L-61, adjusted for TY 08 volume growth.</t>
  </si>
  <si>
    <t>(2) Refer to the PARS 23 Baseline Cost Model, Route Module.</t>
  </si>
  <si>
    <t>(4)  Refer to PARS 23 Baseline Cost Model, Mail Processing and Transportation Module.</t>
  </si>
  <si>
    <t>FY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</si>
</sst>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_);[Red]\(&quot;$&quot;#,##0\)"/>
    <numFmt numFmtId="164" formatCode="&quot;$&quot;#,##0.0000"/>
    <numFmt numFmtId="165" formatCode="&quot;$&quot;#,##0"/>
    <numFmt numFmtId="166" formatCode="0.000000"/>
    <numFmt numFmtId="167" formatCode="&quot;$&quot;#,##0.000000"/>
    <numFmt numFmtId="168" formatCode="0.0000"/>
    <numFmt numFmtId="169" formatCode="0.000"/>
    <numFmt numFmtId="170" formatCode="&quot;$&quot;#,##0.00000"/>
    <numFmt numFmtId="171" formatCode="&quot;$&quot;#,##0.000"/>
    <numFmt numFmtId="172" formatCode="&quot;$&quot;#,##0.00"/>
    <numFmt numFmtId="173" formatCode="#,##0.0"/>
    <numFmt numFmtId="174" formatCode="#,##0.000"/>
    <numFmt numFmtId="175" formatCode="0.0%"/>
    <numFmt numFmtId="176" formatCode="#,##0.0000"/>
    <numFmt numFmtId="177" formatCode="#,##0.00000"/>
    <numFmt numFmtId="178" formatCode="&quot;$&quot;#,##0.0;\(&quot;$&quot;#,##0.0\)"/>
    <numFmt numFmtId="179" formatCode="#,##0.0000000"/>
    <numFmt numFmtId="180" formatCode="#,##0.00000000"/>
    <numFmt numFmtId="181" formatCode="#,##0.000000000"/>
    <numFmt numFmtId="182" formatCode="#,##0.0000000000"/>
    <numFmt numFmtId="183" formatCode="&quot;$&quot;#,##0.0000000"/>
    <numFmt numFmtId="184" formatCode="0.000%"/>
    <numFmt numFmtId="185" formatCode="0.000000%"/>
  </numFmts>
  <fonts count="15" x14ac:knownFonts="1">
    <font>
      <sz val="10"/>
      <name val="Arial"/>
    </font>
    <font>
      <sz val="10"/>
      <name val="Arial"/>
    </font>
    <font>
      <sz val="10"/>
      <name val="Arial"/>
      <family val="2"/>
    </font>
    <font>
      <u/>
      <sz val="10"/>
      <name val="Arial"/>
      <family val="2"/>
    </font>
    <font>
      <b/>
      <sz val="10"/>
      <name val="Arial"/>
      <family val="2"/>
    </font>
    <font>
      <sz val="8"/>
      <name val="Arial"/>
    </font>
    <font>
      <u/>
      <sz val="10"/>
      <name val="Arial"/>
    </font>
    <font>
      <sz val="12"/>
      <name val="Helv"/>
    </font>
    <font>
      <sz val="10"/>
      <color indexed="12"/>
      <name val="Arial"/>
      <family val="2"/>
    </font>
    <font>
      <u/>
      <sz val="7.5"/>
      <name val="Arial"/>
      <family val="2"/>
    </font>
    <font>
      <b/>
      <u/>
      <sz val="10"/>
      <name val="Arial"/>
      <family val="2"/>
    </font>
    <font>
      <b/>
      <sz val="12"/>
      <name val="Arial"/>
      <family val="2"/>
    </font>
    <font>
      <b/>
      <sz val="14"/>
      <name val="Arial"/>
      <family val="2"/>
    </font>
    <font>
      <sz val="8"/>
      <color indexed="81"/>
      <name val="Tahoma"/>
    </font>
    <font>
      <b/>
      <sz val="8"/>
      <color indexed="81"/>
      <name val="Tahoma"/>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42">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7" fillId="0" borderId="1" applyBorder="0"/>
    <xf numFmtId="180" fontId="1" fillId="0" borderId="0" applyFont="0" applyFill="0" applyBorder="0" applyAlignment="0" applyProtection="0"/>
    <xf numFmtId="182" fontId="1" fillId="0" borderId="0" applyFont="0" applyFill="0" applyBorder="0" applyAlignment="0" applyProtection="0"/>
    <xf numFmtId="179" fontId="1" fillId="0" borderId="0" applyFont="0" applyFill="0" applyBorder="0" applyAlignment="0" applyProtection="0"/>
    <xf numFmtId="181" fontId="1" fillId="0" borderId="0" applyFont="0" applyFill="0" applyBorder="0" applyAlignment="0" applyProtection="0"/>
    <xf numFmtId="178" fontId="1" fillId="0" borderId="0"/>
    <xf numFmtId="9" fontId="1" fillId="0" borderId="0" applyFont="0" applyFill="0" applyBorder="0" applyAlignment="0" applyProtection="0"/>
  </cellStyleXfs>
  <cellXfs count="429">
    <xf numFmtId="0" fontId="0" fillId="0" borderId="0" xfId="0"/>
    <xf numFmtId="0" fontId="2" fillId="0" borderId="0" xfId="0" applyFont="1" applyAlignment="1">
      <alignment horizontal="centerContinuous"/>
    </xf>
    <xf numFmtId="0" fontId="2" fillId="0" borderId="0" xfId="0" applyFont="1" applyAlignment="1">
      <alignment horizontal="left"/>
    </xf>
    <xf numFmtId="164" fontId="2" fillId="0" borderId="0" xfId="0" applyNumberFormat="1" applyFont="1" applyAlignment="1">
      <alignment horizontal="center" wrapText="1"/>
    </xf>
    <xf numFmtId="0" fontId="2" fillId="0" borderId="0" xfId="0" applyFont="1"/>
    <xf numFmtId="0" fontId="4" fillId="0" borderId="0" xfId="0" applyFont="1"/>
    <xf numFmtId="3" fontId="0" fillId="0" borderId="0" xfId="0" applyNumberFormat="1"/>
    <xf numFmtId="3" fontId="2" fillId="0" borderId="0" xfId="0" applyNumberFormat="1" applyFont="1" applyAlignment="1">
      <alignment wrapText="1"/>
    </xf>
    <xf numFmtId="164" fontId="3" fillId="0" borderId="0" xfId="0" applyNumberFormat="1" applyFont="1" applyAlignment="1">
      <alignment horizontal="center" wrapText="1"/>
    </xf>
    <xf numFmtId="164" fontId="2" fillId="0" borderId="0" xfId="0" quotePrefix="1" applyNumberFormat="1" applyFont="1" applyAlignment="1">
      <alignment horizontal="center" wrapText="1"/>
    </xf>
    <xf numFmtId="3" fontId="0" fillId="0" borderId="1" xfId="0" applyNumberFormat="1" applyBorder="1"/>
    <xf numFmtId="0" fontId="0" fillId="0" borderId="0" xfId="0" quotePrefix="1" applyAlignment="1">
      <alignment horizontal="left"/>
    </xf>
    <xf numFmtId="0" fontId="0" fillId="0" borderId="0" xfId="0" applyAlignment="1">
      <alignment horizontal="left"/>
    </xf>
    <xf numFmtId="0" fontId="0" fillId="0" borderId="0" xfId="0" applyAlignment="1">
      <alignment horizontal="right"/>
    </xf>
    <xf numFmtId="0" fontId="4" fillId="0" borderId="0" xfId="0" quotePrefix="1" applyFont="1" applyAlignment="1">
      <alignment horizontal="left"/>
    </xf>
    <xf numFmtId="0" fontId="4" fillId="0" borderId="0" xfId="0" applyFont="1" applyAlignment="1">
      <alignment horizontal="centerContinuous"/>
    </xf>
    <xf numFmtId="0" fontId="4" fillId="0" borderId="0" xfId="0" applyFont="1" applyAlignment="1">
      <alignment horizontal="left"/>
    </xf>
    <xf numFmtId="0" fontId="2" fillId="0" borderId="0" xfId="0" quotePrefix="1" applyFont="1" applyAlignment="1">
      <alignment horizontal="left"/>
    </xf>
    <xf numFmtId="0" fontId="2" fillId="0" borderId="0" xfId="0" applyFont="1" applyAlignment="1">
      <alignment horizontal="left" indent="1"/>
    </xf>
    <xf numFmtId="171" fontId="0" fillId="0" borderId="0" xfId="0" applyNumberFormat="1"/>
    <xf numFmtId="0" fontId="2" fillId="0" borderId="0" xfId="0" applyFont="1" applyAlignment="1">
      <alignment horizontal="right"/>
    </xf>
    <xf numFmtId="2" fontId="0" fillId="0" borderId="0" xfId="0" applyNumberFormat="1" applyAlignment="1">
      <alignment horizontal="right"/>
    </xf>
    <xf numFmtId="0" fontId="0" fillId="0" borderId="0" xfId="0" quotePrefix="1" applyAlignment="1">
      <alignment horizontal="left" indent="1"/>
    </xf>
    <xf numFmtId="10" fontId="0" fillId="0" borderId="0" xfId="0" applyNumberFormat="1"/>
    <xf numFmtId="3" fontId="2" fillId="0" borderId="0" xfId="0" applyNumberFormat="1" applyFont="1"/>
    <xf numFmtId="172" fontId="0" fillId="0" borderId="0" xfId="0" applyNumberFormat="1"/>
    <xf numFmtId="0" fontId="4" fillId="0" borderId="0" xfId="0" applyFont="1" applyAlignment="1">
      <alignment horizontal="center"/>
    </xf>
    <xf numFmtId="164" fontId="0" fillId="0" borderId="0" xfId="0" applyNumberFormat="1"/>
    <xf numFmtId="164" fontId="2" fillId="0" borderId="0" xfId="0" applyNumberFormat="1" applyFont="1"/>
    <xf numFmtId="165" fontId="2" fillId="0" borderId="0" xfId="0" applyNumberFormat="1" applyFont="1"/>
    <xf numFmtId="3" fontId="2" fillId="0" borderId="0" xfId="0" applyNumberFormat="1" applyFont="1" applyAlignment="1">
      <alignment horizontal="right" wrapText="1"/>
    </xf>
    <xf numFmtId="164" fontId="2" fillId="0" borderId="0" xfId="0" applyNumberFormat="1" applyFont="1" applyAlignment="1">
      <alignment horizontal="right" wrapText="1"/>
    </xf>
    <xf numFmtId="165" fontId="2" fillId="0" borderId="0" xfId="0" applyNumberFormat="1" applyFont="1" applyAlignment="1">
      <alignment horizontal="right" wrapText="1"/>
    </xf>
    <xf numFmtId="0" fontId="2" fillId="0" borderId="0" xfId="0" applyFont="1" applyAlignment="1">
      <alignment horizontal="left" wrapText="1"/>
    </xf>
    <xf numFmtId="3" fontId="2" fillId="0" borderId="0" xfId="0" applyNumberFormat="1" applyFont="1" applyAlignment="1">
      <alignment horizontal="right"/>
    </xf>
    <xf numFmtId="164" fontId="2" fillId="0" borderId="0" xfId="0" applyNumberFormat="1" applyFont="1" applyAlignment="1">
      <alignment horizontal="right"/>
    </xf>
    <xf numFmtId="165" fontId="2" fillId="0" borderId="0" xfId="0" applyNumberFormat="1" applyFont="1" applyAlignment="1">
      <alignment horizontal="right"/>
    </xf>
    <xf numFmtId="2" fontId="2" fillId="0" borderId="0" xfId="0" applyNumberFormat="1" applyFont="1"/>
    <xf numFmtId="0" fontId="2" fillId="0" borderId="0" xfId="0" applyFont="1" applyAlignment="1">
      <alignment horizontal="center"/>
    </xf>
    <xf numFmtId="175" fontId="2" fillId="0" borderId="0" xfId="0" applyNumberFormat="1" applyFont="1" applyAlignment="1">
      <alignment horizontal="right" wrapText="1"/>
    </xf>
    <xf numFmtId="175" fontId="2" fillId="0" borderId="0" xfId="0" applyNumberFormat="1" applyFont="1" applyAlignment="1">
      <alignment horizontal="right"/>
    </xf>
    <xf numFmtId="168" fontId="2" fillId="0" borderId="0" xfId="0" applyNumberFormat="1" applyFont="1" applyAlignment="1">
      <alignment horizontal="right" wrapText="1"/>
    </xf>
    <xf numFmtId="168" fontId="2" fillId="0" borderId="0" xfId="0" applyNumberFormat="1" applyFont="1" applyAlignment="1">
      <alignment horizontal="right"/>
    </xf>
    <xf numFmtId="0" fontId="2" fillId="0" borderId="0" xfId="0" applyFont="1" applyAlignment="1">
      <alignment wrapText="1"/>
    </xf>
    <xf numFmtId="168" fontId="2" fillId="0" borderId="0" xfId="0" applyNumberFormat="1" applyFont="1" applyAlignment="1">
      <alignment horizontal="centerContinuous"/>
    </xf>
    <xf numFmtId="172" fontId="2" fillId="0" borderId="0" xfId="0" applyNumberFormat="1" applyFont="1" applyAlignment="1">
      <alignment horizontal="centerContinuous"/>
    </xf>
    <xf numFmtId="164" fontId="2" fillId="0" borderId="0" xfId="0" applyNumberFormat="1" applyFont="1" applyAlignment="1">
      <alignment horizontal="centerContinuous"/>
    </xf>
    <xf numFmtId="168" fontId="2" fillId="0" borderId="0" xfId="0" applyNumberFormat="1" applyFont="1"/>
    <xf numFmtId="172" fontId="2" fillId="0" borderId="0" xfId="0" applyNumberFormat="1" applyFont="1"/>
    <xf numFmtId="175" fontId="2" fillId="0" borderId="0" xfId="0" applyNumberFormat="1" applyFont="1" applyAlignment="1">
      <alignment horizontal="left" wrapText="1"/>
    </xf>
    <xf numFmtId="168" fontId="8" fillId="0" borderId="0" xfId="0" applyNumberFormat="1" applyFont="1"/>
    <xf numFmtId="165" fontId="8" fillId="0" borderId="0" xfId="0" applyNumberFormat="1" applyFont="1"/>
    <xf numFmtId="164" fontId="8" fillId="0" borderId="0" xfId="0" applyNumberFormat="1" applyFont="1"/>
    <xf numFmtId="2" fontId="2" fillId="0" borderId="0" xfId="0" applyNumberFormat="1" applyFont="1" applyAlignment="1">
      <alignment horizontal="centerContinuous"/>
    </xf>
    <xf numFmtId="10" fontId="2" fillId="0" borderId="0" xfId="0" applyNumberFormat="1" applyFont="1" applyAlignment="1">
      <alignment horizontal="center" wrapText="1"/>
    </xf>
    <xf numFmtId="10" fontId="2" fillId="0" borderId="0" xfId="0" applyNumberFormat="1" applyFont="1" applyAlignment="1">
      <alignment horizontal="right" wrapText="1"/>
    </xf>
    <xf numFmtId="10" fontId="2" fillId="0" borderId="0" xfId="0" applyNumberFormat="1" applyFont="1" applyAlignment="1">
      <alignment horizontal="right"/>
    </xf>
    <xf numFmtId="10" fontId="2" fillId="0" borderId="0" xfId="0" applyNumberFormat="1" applyFont="1"/>
    <xf numFmtId="175" fontId="2" fillId="0" borderId="0" xfId="0" applyNumberFormat="1" applyFont="1"/>
    <xf numFmtId="0" fontId="2" fillId="0" borderId="0" xfId="0" applyFont="1" applyAlignment="1">
      <alignment horizontal="left" indent="2"/>
    </xf>
    <xf numFmtId="0" fontId="2" fillId="0" borderId="0" xfId="0" quotePrefix="1" applyFont="1" applyAlignment="1">
      <alignment horizontal="left" indent="2"/>
    </xf>
    <xf numFmtId="171" fontId="2" fillId="0" borderId="0" xfId="0" applyNumberFormat="1" applyFont="1" applyAlignment="1">
      <alignment horizontal="right" wrapText="1"/>
    </xf>
    <xf numFmtId="170" fontId="2" fillId="0" borderId="0" xfId="0" applyNumberFormat="1" applyFont="1"/>
    <xf numFmtId="171" fontId="2" fillId="0" borderId="0" xfId="0" applyNumberFormat="1" applyFont="1" applyAlignment="1">
      <alignment horizontal="right"/>
    </xf>
    <xf numFmtId="171" fontId="2" fillId="0" borderId="0" xfId="0" applyNumberFormat="1" applyFont="1"/>
    <xf numFmtId="10" fontId="2" fillId="0" borderId="0" xfId="0" quotePrefix="1" applyNumberFormat="1" applyFont="1" applyAlignment="1">
      <alignment horizontal="center" wrapText="1"/>
    </xf>
    <xf numFmtId="0" fontId="2" fillId="0" borderId="0" xfId="0" quotePrefix="1" applyFont="1" applyAlignment="1">
      <alignment horizontal="left" indent="1"/>
    </xf>
    <xf numFmtId="2" fontId="2" fillId="0" borderId="0" xfId="0" applyNumberFormat="1" applyFont="1" applyAlignment="1">
      <alignment horizontal="left"/>
    </xf>
    <xf numFmtId="168" fontId="2" fillId="0" borderId="0" xfId="0" applyNumberFormat="1" applyFont="1" applyAlignment="1">
      <alignment horizontal="left"/>
    </xf>
    <xf numFmtId="172" fontId="2" fillId="0" borderId="0" xfId="0" applyNumberFormat="1" applyFont="1" applyAlignment="1">
      <alignment horizontal="left"/>
    </xf>
    <xf numFmtId="164" fontId="2" fillId="0" borderId="0" xfId="0" applyNumberFormat="1" applyFont="1" applyAlignment="1">
      <alignment horizontal="left"/>
    </xf>
    <xf numFmtId="0" fontId="0" fillId="0" borderId="0" xfId="0" quotePrefix="1" applyAlignment="1">
      <alignment horizontal="left" wrapText="1" indent="1"/>
    </xf>
    <xf numFmtId="0" fontId="3" fillId="0" borderId="0" xfId="0" applyFont="1"/>
    <xf numFmtId="171" fontId="2" fillId="0" borderId="0" xfId="0" applyNumberFormat="1" applyFont="1" applyAlignment="1">
      <alignment horizontal="center"/>
    </xf>
    <xf numFmtId="175" fontId="2" fillId="0" borderId="0" xfId="0" applyNumberFormat="1" applyFont="1" applyAlignment="1">
      <alignment horizontal="center" wrapText="1"/>
    </xf>
    <xf numFmtId="3" fontId="0" fillId="0" borderId="0" xfId="0" applyNumberFormat="1" applyAlignment="1">
      <alignment horizontal="right"/>
    </xf>
    <xf numFmtId="0" fontId="10" fillId="0" borderId="0" xfId="0" applyFont="1" applyAlignment="1">
      <alignment horizontal="right"/>
    </xf>
    <xf numFmtId="0" fontId="0" fillId="0" borderId="0" xfId="0" applyAlignment="1">
      <alignment horizontal="centerContinuous"/>
    </xf>
    <xf numFmtId="0" fontId="10" fillId="0" borderId="0" xfId="0" applyFont="1" applyAlignment="1">
      <alignment horizontal="centerContinuous"/>
    </xf>
    <xf numFmtId="0" fontId="0" fillId="0" borderId="0" xfId="0" applyAlignment="1">
      <alignment horizontal="left" indent="1"/>
    </xf>
    <xf numFmtId="0" fontId="4" fillId="0" borderId="0" xfId="0" applyFont="1" applyAlignment="1">
      <alignment horizontal="left" indent="2"/>
    </xf>
    <xf numFmtId="165" fontId="0" fillId="0" borderId="0" xfId="0" applyNumberFormat="1"/>
    <xf numFmtId="0" fontId="0" fillId="0" borderId="0" xfId="0" quotePrefix="1" applyAlignment="1">
      <alignment horizontal="left" wrapText="1" indent="2"/>
    </xf>
    <xf numFmtId="172" fontId="0" fillId="0" borderId="0" xfId="0" applyNumberFormat="1" applyAlignment="1">
      <alignment horizontal="right"/>
    </xf>
    <xf numFmtId="164" fontId="0" fillId="0" borderId="2" xfId="0" quotePrefix="1" applyNumberFormat="1" applyBorder="1" applyAlignment="1">
      <alignment horizontal="center"/>
    </xf>
    <xf numFmtId="169" fontId="0" fillId="0" borderId="0" xfId="0" applyNumberFormat="1" applyAlignment="1">
      <alignment horizontal="right"/>
    </xf>
    <xf numFmtId="9" fontId="0" fillId="0" borderId="0" xfId="0" applyNumberFormat="1"/>
    <xf numFmtId="170" fontId="0" fillId="0" borderId="0" xfId="0" applyNumberFormat="1"/>
    <xf numFmtId="171" fontId="0" fillId="0" borderId="0" xfId="0" applyNumberFormat="1" applyAlignment="1">
      <alignment horizontal="right"/>
    </xf>
    <xf numFmtId="0" fontId="0" fillId="2" borderId="0" xfId="0" applyFill="1"/>
    <xf numFmtId="0" fontId="0" fillId="2" borderId="0" xfId="0" applyFill="1" applyAlignment="1">
      <alignment horizontal="right"/>
    </xf>
    <xf numFmtId="174" fontId="0" fillId="2" borderId="0" xfId="0" applyNumberFormat="1" applyFill="1"/>
    <xf numFmtId="0" fontId="2" fillId="2" borderId="0" xfId="0" applyFont="1" applyFill="1"/>
    <xf numFmtId="0" fontId="2" fillId="2" borderId="0" xfId="0" applyFont="1" applyFill="1" applyAlignment="1">
      <alignment horizontal="right"/>
    </xf>
    <xf numFmtId="176" fontId="2" fillId="2" borderId="0" xfId="0" applyNumberFormat="1" applyFont="1" applyFill="1"/>
    <xf numFmtId="3" fontId="2" fillId="2" borderId="0" xfId="0" applyNumberFormat="1" applyFont="1" applyFill="1"/>
    <xf numFmtId="164" fontId="2" fillId="2" borderId="0" xfId="0" applyNumberFormat="1" applyFont="1" applyFill="1"/>
    <xf numFmtId="0" fontId="4" fillId="0" borderId="0" xfId="0" quotePrefix="1" applyFont="1" applyAlignment="1">
      <alignment horizontal="right"/>
    </xf>
    <xf numFmtId="176" fontId="0" fillId="2" borderId="0" xfId="0" applyNumberFormat="1" applyFill="1"/>
    <xf numFmtId="176" fontId="0" fillId="0" borderId="0" xfId="0" applyNumberFormat="1"/>
    <xf numFmtId="164" fontId="2" fillId="0" borderId="0" xfId="0" quotePrefix="1" applyNumberFormat="1" applyFont="1" applyAlignment="1">
      <alignment horizontal="left"/>
    </xf>
    <xf numFmtId="3" fontId="0" fillId="2" borderId="0" xfId="0" applyNumberFormat="1" applyFill="1"/>
    <xf numFmtId="177" fontId="2" fillId="2" borderId="0" xfId="0" applyNumberFormat="1" applyFont="1" applyFill="1"/>
    <xf numFmtId="0" fontId="2" fillId="0" borderId="1" xfId="0" applyFont="1" applyBorder="1"/>
    <xf numFmtId="176" fontId="0" fillId="0" borderId="0" xfId="0" applyNumberFormat="1" applyAlignment="1">
      <alignment horizontal="right"/>
    </xf>
    <xf numFmtId="177" fontId="0" fillId="2" borderId="0" xfId="0" applyNumberFormat="1" applyFill="1"/>
    <xf numFmtId="0" fontId="2" fillId="0" borderId="1" xfId="0" quotePrefix="1" applyFont="1" applyBorder="1" applyAlignment="1">
      <alignment horizontal="left"/>
    </xf>
    <xf numFmtId="165" fontId="2" fillId="0" borderId="0" xfId="0" quotePrefix="1" applyNumberFormat="1" applyFont="1" applyAlignment="1">
      <alignment horizontal="right" wrapText="1"/>
    </xf>
    <xf numFmtId="165" fontId="0" fillId="0" borderId="0" xfId="0" applyNumberFormat="1" applyAlignment="1">
      <alignment horizontal="right"/>
    </xf>
    <xf numFmtId="0" fontId="4" fillId="0" borderId="3" xfId="0" applyFont="1" applyBorder="1" applyAlignment="1">
      <alignment horizontal="centerContinuous"/>
    </xf>
    <xf numFmtId="0" fontId="4" fillId="0" borderId="4" xfId="0" applyFont="1" applyBorder="1" applyAlignment="1">
      <alignment horizontal="centerContinuous"/>
    </xf>
    <xf numFmtId="0" fontId="4" fillId="0" borderId="5" xfId="0" applyFont="1" applyBorder="1" applyAlignment="1">
      <alignment horizontal="centerContinuous"/>
    </xf>
    <xf numFmtId="164" fontId="2" fillId="0" borderId="6" xfId="0" applyNumberFormat="1" applyFont="1" applyBorder="1" applyAlignment="1">
      <alignment horizontal="center"/>
    </xf>
    <xf numFmtId="171" fontId="0" fillId="0" borderId="2" xfId="0" applyNumberFormat="1" applyBorder="1"/>
    <xf numFmtId="171" fontId="2" fillId="0" borderId="2" xfId="0" applyNumberFormat="1" applyFont="1" applyBorder="1"/>
    <xf numFmtId="164" fontId="2" fillId="0" borderId="7" xfId="0" applyNumberFormat="1" applyFont="1" applyBorder="1" applyAlignment="1">
      <alignment horizontal="center"/>
    </xf>
    <xf numFmtId="0" fontId="2" fillId="0" borderId="1" xfId="0" applyFont="1" applyBorder="1" applyAlignment="1">
      <alignment horizontal="center"/>
    </xf>
    <xf numFmtId="0" fontId="11" fillId="0" borderId="0" xfId="0" quotePrefix="1" applyFont="1" applyAlignment="1">
      <alignment horizontal="left"/>
    </xf>
    <xf numFmtId="0" fontId="2" fillId="0" borderId="0" xfId="0" applyFont="1" applyAlignment="1">
      <alignment horizontal="right" wrapText="1"/>
    </xf>
    <xf numFmtId="0" fontId="2" fillId="0" borderId="0" xfId="0" quotePrefix="1" applyFont="1" applyAlignment="1">
      <alignment horizontal="right" wrapText="1"/>
    </xf>
    <xf numFmtId="0" fontId="3" fillId="0" borderId="0" xfId="0" applyFont="1" applyAlignment="1">
      <alignment horizontal="right" wrapText="1"/>
    </xf>
    <xf numFmtId="173" fontId="2" fillId="0" borderId="0" xfId="0" applyNumberFormat="1" applyFont="1"/>
    <xf numFmtId="10" fontId="2" fillId="0" borderId="0" xfId="7" applyNumberFormat="1" applyFont="1" applyBorder="1"/>
    <xf numFmtId="10" fontId="0" fillId="0" borderId="0" xfId="7" applyNumberFormat="1" applyFont="1"/>
    <xf numFmtId="0" fontId="12" fillId="0" borderId="0" xfId="0" applyFont="1" applyAlignment="1">
      <alignment horizontal="centerContinuous"/>
    </xf>
    <xf numFmtId="3" fontId="2" fillId="0" borderId="0" xfId="0" quotePrefix="1" applyNumberFormat="1" applyFont="1" applyAlignment="1">
      <alignment horizontal="right" wrapText="1"/>
    </xf>
    <xf numFmtId="164" fontId="3" fillId="0" borderId="0" xfId="0" quotePrefix="1" applyNumberFormat="1" applyFont="1" applyAlignment="1">
      <alignment horizontal="right" wrapText="1"/>
    </xf>
    <xf numFmtId="166" fontId="3" fillId="0" borderId="0" xfId="0" applyNumberFormat="1" applyFont="1" applyAlignment="1">
      <alignment horizontal="right" wrapText="1"/>
    </xf>
    <xf numFmtId="167" fontId="2" fillId="0" borderId="0" xfId="0" quotePrefix="1" applyNumberFormat="1" applyFont="1" applyAlignment="1">
      <alignment horizontal="right" wrapText="1"/>
    </xf>
    <xf numFmtId="171" fontId="2" fillId="0" borderId="1" xfId="0" applyNumberFormat="1" applyFont="1" applyBorder="1" applyAlignment="1">
      <alignment horizontal="right" wrapText="1"/>
    </xf>
    <xf numFmtId="171" fontId="4" fillId="0" borderId="0" xfId="0" applyNumberFormat="1" applyFont="1" applyAlignment="1">
      <alignment horizontal="right" wrapText="1"/>
    </xf>
    <xf numFmtId="165" fontId="2" fillId="0" borderId="1" xfId="0" applyNumberFormat="1" applyFont="1" applyBorder="1" applyAlignment="1">
      <alignment horizontal="right" wrapText="1"/>
    </xf>
    <xf numFmtId="164" fontId="2" fillId="0" borderId="0" xfId="0" quotePrefix="1" applyNumberFormat="1" applyFont="1" applyAlignment="1">
      <alignment horizontal="right" wrapText="1"/>
    </xf>
    <xf numFmtId="0" fontId="3" fillId="0" borderId="0" xfId="0" applyFont="1" applyAlignment="1">
      <alignment horizontal="right"/>
    </xf>
    <xf numFmtId="9" fontId="2" fillId="0" borderId="0" xfId="0" applyNumberFormat="1" applyFont="1" applyAlignment="1">
      <alignment horizontal="right"/>
    </xf>
    <xf numFmtId="0" fontId="3" fillId="0" borderId="0" xfId="0" quotePrefix="1" applyFont="1" applyAlignment="1">
      <alignment horizontal="right" wrapText="1"/>
    </xf>
    <xf numFmtId="172" fontId="2" fillId="0" borderId="0" xfId="0" applyNumberFormat="1" applyFont="1" applyAlignment="1">
      <alignment wrapText="1"/>
    </xf>
    <xf numFmtId="171" fontId="2" fillId="0" borderId="0" xfId="0" applyNumberFormat="1" applyFont="1" applyAlignment="1">
      <alignment wrapText="1"/>
    </xf>
    <xf numFmtId="168" fontId="2" fillId="0" borderId="0" xfId="0" quotePrefix="1" applyNumberFormat="1" applyFont="1" applyAlignment="1">
      <alignment horizontal="right" wrapText="1"/>
    </xf>
    <xf numFmtId="175" fontId="2" fillId="0" borderId="0" xfId="0" applyNumberFormat="1" applyFont="1" applyAlignment="1">
      <alignment wrapText="1"/>
    </xf>
    <xf numFmtId="165" fontId="2" fillId="0" borderId="0" xfId="0" applyNumberFormat="1" applyFont="1" applyAlignment="1">
      <alignment wrapText="1"/>
    </xf>
    <xf numFmtId="164" fontId="3" fillId="0" borderId="0" xfId="0" applyNumberFormat="1" applyFont="1" applyAlignment="1">
      <alignment horizontal="right" wrapText="1"/>
    </xf>
    <xf numFmtId="10" fontId="2" fillId="0" borderId="0" xfId="0" quotePrefix="1" applyNumberFormat="1" applyFont="1" applyAlignment="1">
      <alignment horizontal="right" wrapText="1"/>
    </xf>
    <xf numFmtId="3" fontId="6" fillId="0" borderId="0" xfId="0" applyNumberFormat="1" applyFont="1" applyAlignment="1">
      <alignment horizontal="right"/>
    </xf>
    <xf numFmtId="171" fontId="3" fillId="0" borderId="0" xfId="0" applyNumberFormat="1" applyFont="1" applyAlignment="1">
      <alignment horizontal="right" wrapText="1"/>
    </xf>
    <xf numFmtId="165" fontId="3" fillId="0" borderId="0" xfId="0" applyNumberFormat="1" applyFont="1" applyAlignment="1">
      <alignment horizontal="right" wrapText="1"/>
    </xf>
    <xf numFmtId="165" fontId="3" fillId="0" borderId="0" xfId="0" quotePrefix="1" applyNumberFormat="1" applyFont="1" applyAlignment="1">
      <alignment horizontal="right" wrapText="1"/>
    </xf>
    <xf numFmtId="175" fontId="0" fillId="0" borderId="0" xfId="7" applyNumberFormat="1" applyFont="1" applyAlignment="1">
      <alignment horizontal="right"/>
    </xf>
    <xf numFmtId="2" fontId="2" fillId="0" borderId="0" xfId="0" applyNumberFormat="1" applyFont="1" applyAlignment="1">
      <alignment horizontal="right"/>
    </xf>
    <xf numFmtId="2" fontId="10" fillId="0" borderId="0" xfId="0" applyNumberFormat="1" applyFont="1" applyAlignment="1">
      <alignment horizontal="right"/>
    </xf>
    <xf numFmtId="174" fontId="2" fillId="0" borderId="0" xfId="0" applyNumberFormat="1" applyFont="1" applyAlignment="1">
      <alignment horizontal="center"/>
    </xf>
    <xf numFmtId="3" fontId="0" fillId="0" borderId="0" xfId="0" applyNumberFormat="1" applyAlignment="1">
      <alignment horizontal="center"/>
    </xf>
    <xf numFmtId="0" fontId="0" fillId="0" borderId="0" xfId="0" quotePrefix="1" applyAlignment="1">
      <alignment horizontal="right" wrapText="1"/>
    </xf>
    <xf numFmtId="175" fontId="0" fillId="0" borderId="0" xfId="0" applyNumberFormat="1" applyAlignment="1">
      <alignment horizontal="right" wrapText="1"/>
    </xf>
    <xf numFmtId="175" fontId="0" fillId="0" borderId="0" xfId="0" applyNumberFormat="1" applyAlignment="1">
      <alignment horizontal="right"/>
    </xf>
    <xf numFmtId="10" fontId="3" fillId="0" borderId="0" xfId="0" quotePrefix="1" applyNumberFormat="1" applyFont="1" applyAlignment="1">
      <alignment horizontal="right"/>
    </xf>
    <xf numFmtId="0" fontId="2" fillId="0" borderId="8" xfId="0" quotePrefix="1" applyFont="1" applyBorder="1" applyAlignment="1">
      <alignment horizontal="right"/>
    </xf>
    <xf numFmtId="0" fontId="2" fillId="0" borderId="9" xfId="0" applyFont="1" applyBorder="1" applyAlignment="1">
      <alignment horizontal="right"/>
    </xf>
    <xf numFmtId="0" fontId="2" fillId="0" borderId="10" xfId="0" applyFont="1" applyBorder="1" applyAlignment="1">
      <alignment horizontal="right"/>
    </xf>
    <xf numFmtId="164" fontId="2" fillId="0" borderId="7" xfId="0" applyNumberFormat="1" applyFont="1" applyBorder="1" applyAlignment="1">
      <alignment horizontal="right"/>
    </xf>
    <xf numFmtId="164" fontId="2" fillId="0" borderId="6" xfId="0" quotePrefix="1" applyNumberFormat="1" applyFont="1" applyBorder="1" applyAlignment="1">
      <alignment horizontal="right"/>
    </xf>
    <xf numFmtId="174" fontId="0" fillId="0" borderId="0" xfId="0" applyNumberFormat="1"/>
    <xf numFmtId="2" fontId="2" fillId="0" borderId="0" xfId="0" applyNumberFormat="1" applyFont="1" applyAlignment="1">
      <alignment horizontal="center"/>
    </xf>
    <xf numFmtId="2" fontId="3" fillId="0" borderId="0" xfId="0" applyNumberFormat="1" applyFont="1" applyAlignment="1">
      <alignment horizontal="right"/>
    </xf>
    <xf numFmtId="2" fontId="10" fillId="0" borderId="0" xfId="0" applyNumberFormat="1" applyFont="1" applyAlignment="1">
      <alignment horizontal="centerContinuous"/>
    </xf>
    <xf numFmtId="2" fontId="0" fillId="0" borderId="0" xfId="0" applyNumberFormat="1" applyAlignment="1">
      <alignment horizontal="centerContinuous"/>
    </xf>
    <xf numFmtId="0" fontId="0" fillId="0" borderId="0" xfId="0" quotePrefix="1" applyAlignment="1">
      <alignment horizontal="left" indent="2"/>
    </xf>
    <xf numFmtId="177" fontId="0" fillId="0" borderId="0" xfId="0" applyNumberFormat="1"/>
    <xf numFmtId="176" fontId="2" fillId="0" borderId="0" xfId="0" applyNumberFormat="1" applyFont="1" applyAlignment="1">
      <alignment horizontal="right"/>
    </xf>
    <xf numFmtId="0" fontId="0" fillId="0" borderId="11" xfId="0" applyBorder="1" applyAlignment="1">
      <alignment horizontal="center"/>
    </xf>
    <xf numFmtId="0" fontId="0" fillId="0" borderId="9" xfId="0" applyBorder="1"/>
    <xf numFmtId="0" fontId="0" fillId="0" borderId="12" xfId="0" applyBorder="1" applyAlignment="1">
      <alignment horizontal="center"/>
    </xf>
    <xf numFmtId="0" fontId="0" fillId="0" borderId="8" xfId="0" applyBorder="1" applyAlignment="1">
      <alignment horizontal="center"/>
    </xf>
    <xf numFmtId="0" fontId="4" fillId="0" borderId="6" xfId="0" applyFont="1" applyBorder="1"/>
    <xf numFmtId="164" fontId="4" fillId="0" borderId="2" xfId="0" applyNumberFormat="1" applyFont="1" applyBorder="1" applyAlignment="1">
      <alignment horizontal="center"/>
    </xf>
    <xf numFmtId="0" fontId="4" fillId="0" borderId="13" xfId="0" applyFont="1" applyBorder="1" applyAlignment="1">
      <alignment horizontal="center"/>
    </xf>
    <xf numFmtId="0" fontId="4" fillId="0" borderId="2" xfId="0" applyFont="1" applyBorder="1"/>
    <xf numFmtId="164" fontId="0" fillId="0" borderId="2" xfId="0" applyNumberFormat="1" applyBorder="1"/>
    <xf numFmtId="164" fontId="0" fillId="0" borderId="2" xfId="0" applyNumberFormat="1" applyBorder="1" applyAlignment="1">
      <alignment horizontal="center"/>
    </xf>
    <xf numFmtId="0" fontId="0" fillId="0" borderId="13" xfId="0" applyBorder="1"/>
    <xf numFmtId="0" fontId="0" fillId="0" borderId="2" xfId="0" applyBorder="1"/>
    <xf numFmtId="0" fontId="4" fillId="0" borderId="12" xfId="0" applyFont="1" applyBorder="1"/>
    <xf numFmtId="9" fontId="0" fillId="0" borderId="2" xfId="0" applyNumberFormat="1" applyBorder="1" applyAlignment="1">
      <alignment horizontal="center"/>
    </xf>
    <xf numFmtId="171" fontId="0" fillId="0" borderId="13" xfId="0" applyNumberFormat="1" applyBorder="1"/>
    <xf numFmtId="0" fontId="2" fillId="0" borderId="2" xfId="0" applyFont="1" applyBorder="1"/>
    <xf numFmtId="172" fontId="0" fillId="0" borderId="13" xfId="0" applyNumberFormat="1" applyBorder="1"/>
    <xf numFmtId="10" fontId="0" fillId="0" borderId="2" xfId="0" applyNumberFormat="1" applyBorder="1" applyAlignment="1">
      <alignment horizontal="center"/>
    </xf>
    <xf numFmtId="171" fontId="2" fillId="0" borderId="13" xfId="0" applyNumberFormat="1" applyFont="1" applyBorder="1"/>
    <xf numFmtId="0" fontId="4" fillId="0" borderId="7" xfId="0" applyFont="1" applyBorder="1"/>
    <xf numFmtId="171" fontId="0" fillId="0" borderId="7" xfId="0" applyNumberFormat="1" applyBorder="1"/>
    <xf numFmtId="164" fontId="0" fillId="0" borderId="7" xfId="0" applyNumberFormat="1" applyBorder="1" applyAlignment="1">
      <alignment horizontal="center"/>
    </xf>
    <xf numFmtId="171" fontId="4" fillId="0" borderId="7" xfId="0" applyNumberFormat="1" applyFont="1" applyBorder="1"/>
    <xf numFmtId="0" fontId="0" fillId="0" borderId="6" xfId="0" applyBorder="1" applyAlignment="1">
      <alignment horizontal="center"/>
    </xf>
    <xf numFmtId="0" fontId="0" fillId="0" borderId="6" xfId="0" applyBorder="1"/>
    <xf numFmtId="171" fontId="0" fillId="0" borderId="6" xfId="0" applyNumberFormat="1" applyBorder="1"/>
    <xf numFmtId="9" fontId="0" fillId="0" borderId="2" xfId="0" applyNumberFormat="1" applyBorder="1"/>
    <xf numFmtId="0" fontId="0" fillId="0" borderId="7" xfId="0" applyBorder="1"/>
    <xf numFmtId="9" fontId="0" fillId="0" borderId="7" xfId="0" applyNumberFormat="1" applyBorder="1"/>
    <xf numFmtId="9" fontId="2" fillId="0" borderId="6" xfId="0" applyNumberFormat="1" applyFont="1" applyBorder="1" applyAlignment="1">
      <alignment horizontal="center"/>
    </xf>
    <xf numFmtId="171" fontId="2" fillId="0" borderId="6" xfId="0" quotePrefix="1" applyNumberFormat="1" applyFont="1" applyBorder="1" applyAlignment="1">
      <alignment horizontal="right"/>
    </xf>
    <xf numFmtId="9" fontId="2" fillId="0" borderId="7" xfId="0" applyNumberFormat="1" applyFont="1" applyBorder="1" applyAlignment="1">
      <alignment horizontal="center"/>
    </xf>
    <xf numFmtId="2" fontId="0" fillId="0" borderId="2" xfId="0" applyNumberFormat="1" applyBorder="1"/>
    <xf numFmtId="10" fontId="0" fillId="0" borderId="7" xfId="0" applyNumberFormat="1" applyBorder="1"/>
    <xf numFmtId="3" fontId="2" fillId="0" borderId="1" xfId="0" applyNumberFormat="1" applyFont="1" applyBorder="1"/>
    <xf numFmtId="0" fontId="0" fillId="0" borderId="1" xfId="0" applyBorder="1"/>
    <xf numFmtId="3" fontId="2" fillId="0" borderId="0" xfId="0" quotePrefix="1" applyNumberFormat="1" applyFont="1" applyAlignment="1">
      <alignment horizontal="left"/>
    </xf>
    <xf numFmtId="171" fontId="2" fillId="0" borderId="0" xfId="0" quotePrefix="1" applyNumberFormat="1" applyFont="1" applyAlignment="1">
      <alignment horizontal="left"/>
    </xf>
    <xf numFmtId="0" fontId="3" fillId="0" borderId="0" xfId="0" quotePrefix="1" applyFont="1" applyAlignment="1">
      <alignment horizontal="right"/>
    </xf>
    <xf numFmtId="10" fontId="2" fillId="0" borderId="0" xfId="0" quotePrefix="1" applyNumberFormat="1" applyFont="1" applyAlignment="1">
      <alignment horizontal="left"/>
    </xf>
    <xf numFmtId="164" fontId="2" fillId="0" borderId="1" xfId="0" applyNumberFormat="1" applyFont="1" applyBorder="1" applyAlignment="1">
      <alignment horizontal="right"/>
    </xf>
    <xf numFmtId="168" fontId="2" fillId="0" borderId="1" xfId="0" applyNumberFormat="1" applyFont="1" applyBorder="1"/>
    <xf numFmtId="165" fontId="2" fillId="0" borderId="1" xfId="0" applyNumberFormat="1" applyFont="1" applyBorder="1"/>
    <xf numFmtId="3" fontId="0" fillId="0" borderId="0" xfId="0" quotePrefix="1" applyNumberFormat="1" applyAlignment="1">
      <alignment horizontal="left"/>
    </xf>
    <xf numFmtId="164" fontId="2" fillId="0" borderId="1" xfId="0" applyNumberFormat="1" applyFont="1" applyBorder="1"/>
    <xf numFmtId="2" fontId="0" fillId="0" borderId="0" xfId="0" quotePrefix="1" applyNumberFormat="1" applyAlignment="1">
      <alignment horizontal="left"/>
    </xf>
    <xf numFmtId="168" fontId="2" fillId="0" borderId="1" xfId="0" quotePrefix="1" applyNumberFormat="1" applyFont="1" applyBorder="1" applyAlignment="1">
      <alignment horizontal="right"/>
    </xf>
    <xf numFmtId="176" fontId="2" fillId="0" borderId="1" xfId="0" applyNumberFormat="1" applyFont="1" applyBorder="1"/>
    <xf numFmtId="172" fontId="2" fillId="0" borderId="1" xfId="0" applyNumberFormat="1" applyFont="1" applyBorder="1"/>
    <xf numFmtId="2" fontId="2" fillId="0" borderId="1" xfId="0" applyNumberFormat="1" applyFont="1" applyBorder="1"/>
    <xf numFmtId="172" fontId="0" fillId="0" borderId="0" xfId="0" quotePrefix="1" applyNumberFormat="1" applyAlignment="1">
      <alignment horizontal="left"/>
    </xf>
    <xf numFmtId="2" fontId="2" fillId="0" borderId="0" xfId="0" quotePrefix="1" applyNumberFormat="1" applyFont="1" applyAlignment="1">
      <alignment horizontal="left"/>
    </xf>
    <xf numFmtId="10" fontId="2" fillId="0" borderId="0" xfId="7" quotePrefix="1" applyNumberFormat="1" applyFont="1" applyBorder="1" applyAlignment="1">
      <alignment horizontal="left"/>
    </xf>
    <xf numFmtId="171" fontId="0" fillId="0" borderId="0" xfId="0" quotePrefix="1" applyNumberFormat="1" applyAlignment="1">
      <alignment horizontal="left"/>
    </xf>
    <xf numFmtId="0" fontId="11" fillId="0" borderId="0" xfId="0" quotePrefix="1" applyFont="1" applyAlignment="1">
      <alignment horizontal="left" indent="8"/>
    </xf>
    <xf numFmtId="164" fontId="2" fillId="0" borderId="9" xfId="0" applyNumberFormat="1" applyFont="1" applyBorder="1" applyAlignment="1">
      <alignment horizontal="center"/>
    </xf>
    <xf numFmtId="164" fontId="2" fillId="0" borderId="10" xfId="0" applyNumberFormat="1" applyFont="1" applyBorder="1" applyAlignment="1">
      <alignment horizontal="center"/>
    </xf>
    <xf numFmtId="164" fontId="4" fillId="0" borderId="13" xfId="0" applyNumberFormat="1" applyFont="1" applyBorder="1" applyAlignment="1">
      <alignment horizontal="center"/>
    </xf>
    <xf numFmtId="164" fontId="0" fillId="0" borderId="13" xfId="0" applyNumberFormat="1" applyBorder="1" applyAlignment="1">
      <alignment horizontal="center"/>
    </xf>
    <xf numFmtId="164" fontId="0" fillId="0" borderId="13" xfId="0" quotePrefix="1" applyNumberFormat="1" applyBorder="1" applyAlignment="1">
      <alignment horizontal="center"/>
    </xf>
    <xf numFmtId="9" fontId="0" fillId="0" borderId="13" xfId="0" applyNumberFormat="1" applyBorder="1" applyAlignment="1">
      <alignment horizontal="center"/>
    </xf>
    <xf numFmtId="10" fontId="0" fillId="0" borderId="13" xfId="0" applyNumberFormat="1" applyBorder="1" applyAlignment="1">
      <alignment horizontal="center"/>
    </xf>
    <xf numFmtId="171" fontId="0" fillId="0" borderId="2" xfId="0" quotePrefix="1" applyNumberFormat="1" applyBorder="1" applyAlignment="1">
      <alignment horizontal="left"/>
    </xf>
    <xf numFmtId="9" fontId="0" fillId="0" borderId="13" xfId="0" quotePrefix="1" applyNumberFormat="1" applyBorder="1" applyAlignment="1">
      <alignment horizontal="left"/>
    </xf>
    <xf numFmtId="164" fontId="0" fillId="0" borderId="1" xfId="0" applyNumberFormat="1" applyBorder="1"/>
    <xf numFmtId="0" fontId="2" fillId="0" borderId="1" xfId="0" quotePrefix="1" applyFont="1" applyBorder="1" applyAlignment="1">
      <alignment horizontal="right"/>
    </xf>
    <xf numFmtId="0" fontId="0" fillId="0" borderId="2" xfId="0" quotePrefix="1" applyBorder="1" applyAlignment="1">
      <alignment horizontal="left"/>
    </xf>
    <xf numFmtId="0" fontId="0" fillId="0" borderId="6" xfId="0" quotePrefix="1" applyBorder="1" applyAlignment="1">
      <alignment horizontal="left"/>
    </xf>
    <xf numFmtId="0" fontId="4" fillId="0" borderId="0" xfId="0" quotePrefix="1" applyFont="1" applyAlignment="1">
      <alignment horizontal="right" vertical="center"/>
    </xf>
    <xf numFmtId="0" fontId="0" fillId="0" borderId="1" xfId="0" quotePrefix="1" applyBorder="1" applyAlignment="1">
      <alignment horizontal="left"/>
    </xf>
    <xf numFmtId="165" fontId="0" fillId="0" borderId="1" xfId="0" applyNumberFormat="1" applyBorder="1"/>
    <xf numFmtId="180" fontId="0" fillId="2" borderId="13" xfId="0" applyNumberFormat="1" applyFill="1" applyBorder="1"/>
    <xf numFmtId="180" fontId="0" fillId="2" borderId="10" xfId="0" applyNumberFormat="1" applyFill="1" applyBorder="1"/>
    <xf numFmtId="0" fontId="4" fillId="0" borderId="0" xfId="0" applyFont="1" applyAlignment="1">
      <alignment horizontal="right"/>
    </xf>
    <xf numFmtId="0" fontId="2" fillId="0" borderId="0" xfId="0" quotePrefix="1" applyFont="1" applyAlignment="1">
      <alignment horizontal="right"/>
    </xf>
    <xf numFmtId="4" fontId="2" fillId="0" borderId="0" xfId="7" quotePrefix="1" applyNumberFormat="1" applyFont="1" applyBorder="1" applyAlignment="1"/>
    <xf numFmtId="0" fontId="2" fillId="0" borderId="0" xfId="0" applyFont="1" applyAlignment="1">
      <alignment horizontal="left" indent="5"/>
    </xf>
    <xf numFmtId="0" fontId="2" fillId="0" borderId="0" xfId="0" quotePrefix="1" applyFont="1" applyAlignment="1">
      <alignment horizontal="left" indent="5"/>
    </xf>
    <xf numFmtId="168" fontId="2" fillId="2" borderId="0" xfId="0" applyNumberFormat="1" applyFont="1" applyFill="1"/>
    <xf numFmtId="175" fontId="0" fillId="0" borderId="0" xfId="0" applyNumberFormat="1"/>
    <xf numFmtId="0" fontId="0" fillId="0" borderId="0" xfId="0" applyAlignment="1">
      <alignment horizontal="left" indent="3"/>
    </xf>
    <xf numFmtId="0" fontId="2" fillId="0" borderId="0" xfId="0" quotePrefix="1" applyFont="1" applyAlignment="1">
      <alignment horizontal="left" indent="4"/>
    </xf>
    <xf numFmtId="0" fontId="2" fillId="0" borderId="0" xfId="0" applyFont="1" applyAlignment="1">
      <alignment horizontal="left" indent="4"/>
    </xf>
    <xf numFmtId="14" fontId="0" fillId="0" borderId="0" xfId="0" applyNumberFormat="1"/>
    <xf numFmtId="177" fontId="2" fillId="2" borderId="0" xfId="0" quotePrefix="1" applyNumberFormat="1" applyFont="1" applyFill="1" applyAlignment="1">
      <alignment horizontal="right"/>
    </xf>
    <xf numFmtId="176" fontId="2" fillId="0" borderId="0" xfId="0" applyNumberFormat="1" applyFont="1"/>
    <xf numFmtId="177" fontId="2" fillId="0" borderId="0" xfId="0" quotePrefix="1" applyNumberFormat="1" applyFont="1" applyAlignment="1">
      <alignment horizontal="right"/>
    </xf>
    <xf numFmtId="177" fontId="2" fillId="0" borderId="1" xfId="0" quotePrefix="1" applyNumberFormat="1" applyFont="1" applyBorder="1" applyAlignment="1">
      <alignment horizontal="right"/>
    </xf>
    <xf numFmtId="177" fontId="2" fillId="0" borderId="0" xfId="0" applyNumberFormat="1" applyFont="1"/>
    <xf numFmtId="0" fontId="0" fillId="0" borderId="0" xfId="0" applyAlignment="1">
      <alignment horizontal="left" indent="2"/>
    </xf>
    <xf numFmtId="171" fontId="4" fillId="0" borderId="0" xfId="0" applyNumberFormat="1" applyFont="1"/>
    <xf numFmtId="3" fontId="4" fillId="0" borderId="0" xfId="0" applyNumberFormat="1" applyFont="1"/>
    <xf numFmtId="175" fontId="2" fillId="0" borderId="0" xfId="7" applyNumberFormat="1" applyFont="1"/>
    <xf numFmtId="165" fontId="2" fillId="0" borderId="0" xfId="0" applyNumberFormat="1" applyFont="1" applyAlignment="1">
      <alignment horizontal="left"/>
    </xf>
    <xf numFmtId="0" fontId="0" fillId="0" borderId="11" xfId="0" quotePrefix="1" applyBorder="1" applyAlignment="1">
      <alignment horizontal="right"/>
    </xf>
    <xf numFmtId="0" fontId="0" fillId="0" borderId="14" xfId="0" applyBorder="1"/>
    <xf numFmtId="3" fontId="0" fillId="0" borderId="14" xfId="0" applyNumberFormat="1" applyBorder="1"/>
    <xf numFmtId="0" fontId="0" fillId="0" borderId="12" xfId="0" applyBorder="1"/>
    <xf numFmtId="0" fontId="0" fillId="0" borderId="1" xfId="0" applyBorder="1" applyAlignment="1">
      <alignment horizontal="left"/>
    </xf>
    <xf numFmtId="6" fontId="0" fillId="0" borderId="1" xfId="0" quotePrefix="1" applyNumberFormat="1" applyBorder="1" applyAlignment="1">
      <alignment horizontal="right"/>
    </xf>
    <xf numFmtId="6" fontId="0" fillId="0" borderId="8" xfId="0" quotePrefix="1" applyNumberFormat="1" applyBorder="1" applyAlignment="1">
      <alignment horizontal="right"/>
    </xf>
    <xf numFmtId="0" fontId="0" fillId="0" borderId="11" xfId="0" applyBorder="1"/>
    <xf numFmtId="0" fontId="0" fillId="0" borderId="10" xfId="0" applyBorder="1"/>
    <xf numFmtId="0" fontId="0" fillId="0" borderId="11" xfId="0" applyBorder="1" applyAlignment="1">
      <alignment horizontal="right"/>
    </xf>
    <xf numFmtId="0" fontId="0" fillId="0" borderId="9" xfId="0" applyBorder="1" applyAlignment="1">
      <alignment horizontal="right"/>
    </xf>
    <xf numFmtId="0" fontId="11" fillId="0" borderId="15" xfId="0" quotePrefix="1" applyFont="1" applyBorder="1" applyAlignment="1">
      <alignment horizontal="left"/>
    </xf>
    <xf numFmtId="0" fontId="4" fillId="0" borderId="16" xfId="0" applyFont="1" applyBorder="1"/>
    <xf numFmtId="0" fontId="0" fillId="0" borderId="16" xfId="0" applyBorder="1"/>
    <xf numFmtId="0" fontId="0" fillId="0" borderId="17" xfId="0" applyBorder="1"/>
    <xf numFmtId="0" fontId="0" fillId="0" borderId="18" xfId="0" applyBorder="1"/>
    <xf numFmtId="0" fontId="4" fillId="0" borderId="19" xfId="0" quotePrefix="1" applyFont="1" applyBorder="1" applyAlignment="1">
      <alignment horizontal="left"/>
    </xf>
    <xf numFmtId="0" fontId="0" fillId="0" borderId="20" xfId="0" applyBorder="1"/>
    <xf numFmtId="0" fontId="0" fillId="0" borderId="19" xfId="0" applyBorder="1" applyAlignment="1">
      <alignment horizontal="left"/>
    </xf>
    <xf numFmtId="0" fontId="0" fillId="0" borderId="19" xfId="0" applyBorder="1"/>
    <xf numFmtId="0" fontId="0" fillId="0" borderId="19" xfId="0" quotePrefix="1" applyBorder="1" applyAlignment="1">
      <alignment horizontal="left"/>
    </xf>
    <xf numFmtId="0" fontId="0" fillId="0" borderId="20" xfId="0" quotePrefix="1" applyBorder="1" applyAlignment="1">
      <alignment horizontal="left"/>
    </xf>
    <xf numFmtId="0" fontId="0" fillId="0" borderId="21" xfId="0" applyBorder="1"/>
    <xf numFmtId="0" fontId="0" fillId="0" borderId="22" xfId="0" applyBorder="1"/>
    <xf numFmtId="0" fontId="4" fillId="0" borderId="20" xfId="0" quotePrefix="1" applyFont="1" applyBorder="1" applyAlignment="1">
      <alignment horizontal="left"/>
    </xf>
    <xf numFmtId="0" fontId="0" fillId="0" borderId="23" xfId="0" applyBorder="1"/>
    <xf numFmtId="0" fontId="0" fillId="0" borderId="19" xfId="0" applyBorder="1" applyAlignment="1">
      <alignment horizontal="left" indent="4"/>
    </xf>
    <xf numFmtId="0" fontId="0" fillId="0" borderId="20" xfId="0" applyBorder="1" applyAlignment="1">
      <alignment horizontal="left" indent="4"/>
    </xf>
    <xf numFmtId="0" fontId="0" fillId="0" borderId="24" xfId="0" applyBorder="1"/>
    <xf numFmtId="0" fontId="4" fillId="0" borderId="22" xfId="0" applyFont="1" applyBorder="1" applyAlignment="1">
      <alignment horizontal="right"/>
    </xf>
    <xf numFmtId="0" fontId="0" fillId="0" borderId="14" xfId="0" applyBorder="1" applyAlignment="1">
      <alignment horizontal="right"/>
    </xf>
    <xf numFmtId="0" fontId="0" fillId="0" borderId="10" xfId="0" applyBorder="1" applyAlignment="1">
      <alignment horizontal="right"/>
    </xf>
    <xf numFmtId="0" fontId="0" fillId="0" borderId="4" xfId="0" applyBorder="1" applyAlignment="1">
      <alignment horizontal="centerContinuous"/>
    </xf>
    <xf numFmtId="0" fontId="0" fillId="0" borderId="5" xfId="0" applyBorder="1" applyAlignment="1">
      <alignment horizontal="centerContinuous"/>
    </xf>
    <xf numFmtId="0" fontId="0" fillId="0" borderId="25" xfId="0" applyBorder="1" applyAlignment="1">
      <alignment horizontal="centerContinuous"/>
    </xf>
    <xf numFmtId="0" fontId="0" fillId="0" borderId="24" xfId="0" applyBorder="1" applyAlignment="1">
      <alignment horizontal="right"/>
    </xf>
    <xf numFmtId="0" fontId="0" fillId="0" borderId="23" xfId="0" applyBorder="1" applyAlignment="1">
      <alignment horizontal="right"/>
    </xf>
    <xf numFmtId="171" fontId="4" fillId="0" borderId="26" xfId="0" applyNumberFormat="1" applyFont="1" applyBorder="1" applyAlignment="1">
      <alignment horizontal="right" wrapText="1"/>
    </xf>
    <xf numFmtId="171" fontId="4" fillId="0" borderId="27" xfId="0" applyNumberFormat="1" applyFont="1" applyBorder="1" applyAlignment="1">
      <alignment horizontal="right" wrapText="1"/>
    </xf>
    <xf numFmtId="0" fontId="4" fillId="0" borderId="16" xfId="0" applyFont="1" applyBorder="1" applyAlignment="1">
      <alignment horizontal="right"/>
    </xf>
    <xf numFmtId="165" fontId="0" fillId="0" borderId="11" xfId="0" applyNumberFormat="1" applyBorder="1"/>
    <xf numFmtId="165" fontId="0" fillId="0" borderId="12" xfId="0" applyNumberFormat="1" applyBorder="1"/>
    <xf numFmtId="165" fontId="0" fillId="0" borderId="8" xfId="0" applyNumberFormat="1" applyBorder="1"/>
    <xf numFmtId="0" fontId="0" fillId="0" borderId="28" xfId="0" applyBorder="1"/>
    <xf numFmtId="165" fontId="2" fillId="0" borderId="12" xfId="0" applyNumberFormat="1" applyFont="1" applyBorder="1"/>
    <xf numFmtId="3" fontId="2" fillId="0" borderId="29" xfId="0" applyNumberFormat="1" applyFont="1" applyBorder="1"/>
    <xf numFmtId="165" fontId="2" fillId="0" borderId="30" xfId="0" applyNumberFormat="1" applyFont="1" applyBorder="1"/>
    <xf numFmtId="165" fontId="2" fillId="0" borderId="8" xfId="0" applyNumberFormat="1" applyFont="1" applyBorder="1"/>
    <xf numFmtId="171" fontId="4" fillId="0" borderId="0" xfId="0" applyNumberFormat="1" applyFont="1" applyAlignment="1">
      <alignment horizontal="right"/>
    </xf>
    <xf numFmtId="177" fontId="2" fillId="2" borderId="0" xfId="0" applyNumberFormat="1" applyFont="1" applyFill="1" applyAlignment="1">
      <alignment horizontal="right"/>
    </xf>
    <xf numFmtId="0" fontId="0" fillId="0" borderId="2" xfId="0" applyBorder="1" applyAlignment="1">
      <alignment horizontal="left" indent="3"/>
    </xf>
    <xf numFmtId="0" fontId="2" fillId="0" borderId="12" xfId="0" applyFont="1" applyBorder="1" applyAlignment="1">
      <alignment horizontal="right"/>
    </xf>
    <xf numFmtId="0" fontId="2" fillId="0" borderId="13" xfId="0" applyFont="1" applyBorder="1" applyAlignment="1">
      <alignment horizontal="right"/>
    </xf>
    <xf numFmtId="0" fontId="4" fillId="3" borderId="31" xfId="0" applyFont="1" applyFill="1" applyBorder="1" applyAlignment="1">
      <alignment horizontal="centerContinuous"/>
    </xf>
    <xf numFmtId="0" fontId="4" fillId="3" borderId="32" xfId="0" applyFont="1" applyFill="1" applyBorder="1" applyAlignment="1">
      <alignment horizontal="centerContinuous"/>
    </xf>
    <xf numFmtId="0" fontId="0" fillId="3" borderId="32" xfId="0" applyFill="1" applyBorder="1" applyAlignment="1">
      <alignment horizontal="centerContinuous"/>
    </xf>
    <xf numFmtId="0" fontId="0" fillId="3" borderId="33" xfId="0" applyFill="1" applyBorder="1" applyAlignment="1">
      <alignment horizontal="centerContinuous"/>
    </xf>
    <xf numFmtId="0" fontId="4" fillId="0" borderId="6" xfId="0" quotePrefix="1" applyFont="1" applyBorder="1" applyAlignment="1">
      <alignment horizontal="left"/>
    </xf>
    <xf numFmtId="0" fontId="4" fillId="0" borderId="2" xfId="0" quotePrefix="1" applyFont="1" applyBorder="1" applyAlignment="1">
      <alignment horizontal="left"/>
    </xf>
    <xf numFmtId="171" fontId="2" fillId="0" borderId="7" xfId="0" quotePrefix="1" applyNumberFormat="1" applyFont="1" applyBorder="1" applyAlignment="1">
      <alignment horizontal="right"/>
    </xf>
    <xf numFmtId="0" fontId="0" fillId="0" borderId="19" xfId="0" quotePrefix="1" applyBorder="1" applyAlignment="1">
      <alignment horizontal="left" indent="4"/>
    </xf>
    <xf numFmtId="0" fontId="0" fillId="0" borderId="20" xfId="0" quotePrefix="1" applyBorder="1" applyAlignment="1">
      <alignment horizontal="left" indent="4"/>
    </xf>
    <xf numFmtId="0" fontId="11" fillId="0" borderId="19" xfId="0" quotePrefix="1" applyFont="1" applyBorder="1" applyAlignment="1">
      <alignment horizontal="left"/>
    </xf>
    <xf numFmtId="0" fontId="6" fillId="0" borderId="0" xfId="0" applyFont="1"/>
    <xf numFmtId="0" fontId="6" fillId="0" borderId="0" xfId="0" quotePrefix="1" applyFont="1" applyAlignment="1">
      <alignment horizontal="left"/>
    </xf>
    <xf numFmtId="3" fontId="2" fillId="0" borderId="1" xfId="0" applyNumberFormat="1" applyFont="1" applyBorder="1" applyAlignment="1">
      <alignment horizontal="right"/>
    </xf>
    <xf numFmtId="0" fontId="2" fillId="0" borderId="1" xfId="0" applyFont="1" applyBorder="1" applyAlignment="1">
      <alignment horizontal="right"/>
    </xf>
    <xf numFmtId="171" fontId="2" fillId="0" borderId="1" xfId="0" applyNumberFormat="1" applyFont="1" applyBorder="1" applyAlignment="1">
      <alignment horizontal="right"/>
    </xf>
    <xf numFmtId="175" fontId="2" fillId="0" borderId="1" xfId="0" applyNumberFormat="1" applyFont="1" applyBorder="1" applyAlignment="1">
      <alignment horizontal="right" wrapText="1"/>
    </xf>
    <xf numFmtId="165" fontId="2" fillId="0" borderId="1" xfId="0" applyNumberFormat="1" applyFont="1" applyBorder="1" applyAlignment="1">
      <alignment horizontal="right"/>
    </xf>
    <xf numFmtId="3" fontId="0" fillId="0" borderId="0" xfId="0" applyNumberFormat="1" applyAlignment="1">
      <alignment horizontal="centerContinuous"/>
    </xf>
    <xf numFmtId="183" fontId="2" fillId="0" borderId="0" xfId="0" applyNumberFormat="1" applyFont="1"/>
    <xf numFmtId="0" fontId="11" fillId="0" borderId="0" xfId="0" applyFont="1" applyAlignment="1">
      <alignment horizontal="left"/>
    </xf>
    <xf numFmtId="3" fontId="3" fillId="0" borderId="0" xfId="0" quotePrefix="1" applyNumberFormat="1" applyFont="1" applyAlignment="1">
      <alignment wrapText="1"/>
    </xf>
    <xf numFmtId="3" fontId="3" fillId="0" borderId="0" xfId="0" applyNumberFormat="1" applyFont="1" applyAlignment="1">
      <alignment wrapText="1"/>
    </xf>
    <xf numFmtId="10" fontId="0" fillId="0" borderId="1" xfId="0" applyNumberFormat="1" applyBorder="1"/>
    <xf numFmtId="0" fontId="0" fillId="0" borderId="0" xfId="0" quotePrefix="1" applyAlignment="1">
      <alignment horizontal="right"/>
    </xf>
    <xf numFmtId="174" fontId="0" fillId="0" borderId="1" xfId="0" applyNumberFormat="1" applyBorder="1"/>
    <xf numFmtId="185" fontId="0" fillId="0" borderId="0" xfId="0" applyNumberFormat="1"/>
    <xf numFmtId="170" fontId="2" fillId="0" borderId="0" xfId="0" applyNumberFormat="1" applyFont="1" applyAlignment="1">
      <alignment horizontal="right" wrapText="1"/>
    </xf>
    <xf numFmtId="0" fontId="0" fillId="0" borderId="1" xfId="0" applyBorder="1" applyAlignment="1">
      <alignment horizontal="right"/>
    </xf>
    <xf numFmtId="167" fontId="2" fillId="0" borderId="0" xfId="0" applyNumberFormat="1" applyFont="1" applyAlignment="1">
      <alignment horizontal="right" wrapText="1"/>
    </xf>
    <xf numFmtId="0" fontId="4" fillId="0" borderId="0" xfId="0" quotePrefix="1" applyFont="1" applyAlignment="1">
      <alignment horizontal="left" indent="1"/>
    </xf>
    <xf numFmtId="0" fontId="11" fillId="0" borderId="0" xfId="0" applyFont="1"/>
    <xf numFmtId="164" fontId="2" fillId="0" borderId="0" xfId="0" quotePrefix="1" applyNumberFormat="1" applyFont="1" applyAlignment="1">
      <alignment horizontal="left" wrapText="1"/>
    </xf>
    <xf numFmtId="10" fontId="2" fillId="0" borderId="1" xfId="0" applyNumberFormat="1" applyFont="1" applyBorder="1"/>
    <xf numFmtId="10" fontId="2" fillId="0" borderId="0" xfId="0" quotePrefix="1" applyNumberFormat="1" applyFont="1" applyAlignment="1">
      <alignment horizontal="right"/>
    </xf>
    <xf numFmtId="177" fontId="2" fillId="2" borderId="0" xfId="0" applyNumberFormat="1" applyFont="1" applyFill="1" applyAlignment="1">
      <alignment horizontal="right" wrapText="1"/>
    </xf>
    <xf numFmtId="177" fontId="2" fillId="0" borderId="0" xfId="0" applyNumberFormat="1" applyFont="1" applyAlignment="1">
      <alignment horizontal="right"/>
    </xf>
    <xf numFmtId="165" fontId="2" fillId="0" borderId="14" xfId="0" applyNumberFormat="1" applyFont="1" applyBorder="1" applyAlignment="1">
      <alignment horizontal="right" wrapText="1"/>
    </xf>
    <xf numFmtId="171" fontId="2" fillId="0" borderId="14" xfId="0" applyNumberFormat="1" applyFont="1" applyBorder="1" applyAlignment="1">
      <alignment horizontal="right" wrapText="1"/>
    </xf>
    <xf numFmtId="10" fontId="0" fillId="0" borderId="14" xfId="0" applyNumberFormat="1" applyBorder="1"/>
    <xf numFmtId="171" fontId="2" fillId="0" borderId="9" xfId="0" applyNumberFormat="1" applyFont="1" applyBorder="1" applyAlignment="1">
      <alignment horizontal="right" wrapText="1"/>
    </xf>
    <xf numFmtId="0" fontId="0" fillId="0" borderId="8" xfId="0" applyBorder="1" applyAlignment="1">
      <alignment horizontal="right"/>
    </xf>
    <xf numFmtId="171" fontId="2" fillId="0" borderId="10" xfId="0" applyNumberFormat="1" applyFont="1" applyBorder="1" applyAlignment="1">
      <alignment horizontal="right" wrapText="1"/>
    </xf>
    <xf numFmtId="0" fontId="0" fillId="0" borderId="3" xfId="0" applyBorder="1" applyAlignment="1">
      <alignment horizontal="centerContinuous"/>
    </xf>
    <xf numFmtId="0" fontId="0" fillId="0" borderId="8" xfId="0" quotePrefix="1" applyBorder="1" applyAlignment="1">
      <alignment horizontal="right"/>
    </xf>
    <xf numFmtId="0" fontId="0" fillId="0" borderId="12" xfId="0" applyBorder="1" applyAlignment="1">
      <alignment horizontal="right"/>
    </xf>
    <xf numFmtId="0" fontId="0" fillId="0" borderId="13" xfId="0" applyBorder="1" applyAlignment="1">
      <alignment horizontal="right"/>
    </xf>
    <xf numFmtId="0" fontId="0" fillId="0" borderId="2" xfId="0" applyBorder="1" applyAlignment="1">
      <alignment horizontal="left" indent="5"/>
    </xf>
    <xf numFmtId="0" fontId="0" fillId="0" borderId="2" xfId="0" applyBorder="1" applyAlignment="1">
      <alignment horizontal="center"/>
    </xf>
    <xf numFmtId="0" fontId="0" fillId="0" borderId="2" xfId="0" quotePrefix="1" applyBorder="1" applyAlignment="1">
      <alignment horizontal="left" indent="5"/>
    </xf>
    <xf numFmtId="165" fontId="2" fillId="0" borderId="0" xfId="0" quotePrefix="1" applyNumberFormat="1" applyFont="1" applyAlignment="1">
      <alignment horizontal="right"/>
    </xf>
    <xf numFmtId="3" fontId="2" fillId="0" borderId="0" xfId="0" applyNumberFormat="1" applyFont="1" applyAlignment="1">
      <alignment horizontal="center"/>
    </xf>
    <xf numFmtId="0" fontId="0" fillId="0" borderId="0" xfId="0" applyAlignment="1">
      <alignment horizontal="left" indent="4"/>
    </xf>
    <xf numFmtId="165" fontId="4" fillId="0" borderId="0" xfId="0" applyNumberFormat="1" applyFont="1" applyAlignment="1">
      <alignment horizontal="right"/>
    </xf>
    <xf numFmtId="176" fontId="4" fillId="0" borderId="0" xfId="0" applyNumberFormat="1" applyFont="1"/>
    <xf numFmtId="165" fontId="4" fillId="0" borderId="0" xfId="0" applyNumberFormat="1" applyFont="1"/>
    <xf numFmtId="0" fontId="4" fillId="0" borderId="1" xfId="0" applyFont="1" applyBorder="1" applyAlignment="1">
      <alignment horizontal="right"/>
    </xf>
    <xf numFmtId="6" fontId="0" fillId="0" borderId="0" xfId="0" quotePrefix="1" applyNumberFormat="1" applyAlignment="1">
      <alignment horizontal="right"/>
    </xf>
    <xf numFmtId="6" fontId="0" fillId="0" borderId="12" xfId="0" quotePrefix="1" applyNumberFormat="1" applyBorder="1" applyAlignment="1">
      <alignment horizontal="right"/>
    </xf>
    <xf numFmtId="171" fontId="2" fillId="0" borderId="13" xfId="0" applyNumberFormat="1" applyFont="1" applyBorder="1" applyAlignment="1">
      <alignment horizontal="right" wrapText="1"/>
    </xf>
    <xf numFmtId="0" fontId="2" fillId="0" borderId="9" xfId="0" applyFont="1" applyBorder="1"/>
    <xf numFmtId="0" fontId="2" fillId="0" borderId="13" xfId="0" applyFont="1" applyBorder="1"/>
    <xf numFmtId="0" fontId="4" fillId="0" borderId="34" xfId="0" applyFont="1" applyBorder="1" applyAlignment="1">
      <alignment horizontal="centerContinuous"/>
    </xf>
    <xf numFmtId="0" fontId="0" fillId="0" borderId="35" xfId="0" applyBorder="1" applyAlignment="1">
      <alignment horizontal="centerContinuous"/>
    </xf>
    <xf numFmtId="0" fontId="0" fillId="0" borderId="36" xfId="0" applyBorder="1" applyAlignment="1">
      <alignment horizontal="centerContinuous"/>
    </xf>
    <xf numFmtId="0" fontId="4" fillId="0" borderId="35" xfId="0" applyFont="1" applyBorder="1" applyAlignment="1">
      <alignment horizontal="centerContinuous"/>
    </xf>
    <xf numFmtId="0" fontId="4" fillId="0" borderId="37" xfId="0" applyFont="1" applyBorder="1" applyAlignment="1">
      <alignment horizontal="centerContinuous"/>
    </xf>
    <xf numFmtId="0" fontId="0" fillId="0" borderId="18" xfId="0" applyBorder="1" applyAlignment="1">
      <alignment horizontal="right"/>
    </xf>
    <xf numFmtId="171" fontId="4" fillId="0" borderId="23" xfId="0" applyNumberFormat="1" applyFont="1" applyBorder="1" applyAlignment="1">
      <alignment horizontal="right" wrapText="1"/>
    </xf>
    <xf numFmtId="171" fontId="2" fillId="0" borderId="18" xfId="0" applyNumberFormat="1" applyFont="1" applyBorder="1" applyAlignment="1">
      <alignment horizontal="right" wrapText="1"/>
    </xf>
    <xf numFmtId="165" fontId="2" fillId="0" borderId="38" xfId="0" applyNumberFormat="1" applyFont="1" applyBorder="1"/>
    <xf numFmtId="3" fontId="2" fillId="0" borderId="22" xfId="0" applyNumberFormat="1" applyFont="1" applyBorder="1"/>
    <xf numFmtId="171" fontId="2" fillId="0" borderId="39" xfId="0" applyNumberFormat="1" applyFont="1" applyBorder="1" applyAlignment="1">
      <alignment horizontal="right" wrapText="1"/>
    </xf>
    <xf numFmtId="165" fontId="0" fillId="0" borderId="38" xfId="0" applyNumberFormat="1" applyBorder="1"/>
    <xf numFmtId="3" fontId="0" fillId="0" borderId="22" xfId="0" applyNumberFormat="1" applyBorder="1"/>
    <xf numFmtId="171" fontId="4" fillId="0" borderId="40" xfId="0" applyNumberFormat="1" applyFont="1" applyBorder="1" applyAlignment="1">
      <alignment horizontal="right" wrapText="1"/>
    </xf>
    <xf numFmtId="171" fontId="2" fillId="0" borderId="23" xfId="0" applyNumberFormat="1" applyFont="1" applyBorder="1" applyAlignment="1">
      <alignment horizontal="right" wrapText="1"/>
    </xf>
    <xf numFmtId="0" fontId="0" fillId="0" borderId="15" xfId="0" applyBorder="1"/>
    <xf numFmtId="171" fontId="4" fillId="0" borderId="18" xfId="0" applyNumberFormat="1" applyFont="1" applyBorder="1" applyAlignment="1">
      <alignment horizontal="right" wrapText="1"/>
    </xf>
    <xf numFmtId="0" fontId="0" fillId="0" borderId="31" xfId="0" applyBorder="1"/>
    <xf numFmtId="0" fontId="4" fillId="0" borderId="32" xfId="0" quotePrefix="1" applyFont="1" applyBorder="1" applyAlignment="1">
      <alignment horizontal="right"/>
    </xf>
    <xf numFmtId="165" fontId="2" fillId="0" borderId="32" xfId="0" applyNumberFormat="1" applyFont="1" applyBorder="1"/>
    <xf numFmtId="0" fontId="0" fillId="0" borderId="32" xfId="0" applyBorder="1"/>
    <xf numFmtId="0" fontId="0" fillId="0" borderId="33" xfId="0" applyBorder="1"/>
    <xf numFmtId="0" fontId="3" fillId="0" borderId="0" xfId="0" quotePrefix="1" applyFont="1" applyAlignment="1">
      <alignment horizontal="left"/>
    </xf>
    <xf numFmtId="0" fontId="0" fillId="0" borderId="0" xfId="0" quotePrefix="1" applyAlignment="1">
      <alignment horizontal="left" indent="4"/>
    </xf>
    <xf numFmtId="0" fontId="4" fillId="0" borderId="0" xfId="0" applyFont="1" applyAlignment="1">
      <alignment horizontal="left" indent="4"/>
    </xf>
    <xf numFmtId="168" fontId="2" fillId="0" borderId="0" xfId="0" quotePrefix="1" applyNumberFormat="1" applyFont="1" applyAlignment="1">
      <alignment horizontal="right"/>
    </xf>
    <xf numFmtId="175" fontId="0" fillId="0" borderId="2" xfId="0" applyNumberFormat="1" applyBorder="1"/>
    <xf numFmtId="175" fontId="0" fillId="0" borderId="7" xfId="0" applyNumberFormat="1" applyBorder="1"/>
    <xf numFmtId="175" fontId="2" fillId="0" borderId="6" xfId="0" applyNumberFormat="1" applyFont="1" applyBorder="1" applyAlignment="1">
      <alignment horizontal="center"/>
    </xf>
    <xf numFmtId="175" fontId="2" fillId="0" borderId="7" xfId="0" applyNumberFormat="1" applyFont="1" applyBorder="1" applyAlignment="1">
      <alignment horizontal="center"/>
    </xf>
    <xf numFmtId="175" fontId="0" fillId="3" borderId="2" xfId="0" applyNumberFormat="1" applyFill="1" applyBorder="1"/>
    <xf numFmtId="0" fontId="3" fillId="0" borderId="0" xfId="0" applyFont="1" applyAlignment="1">
      <alignment horizontal="centerContinuous"/>
    </xf>
    <xf numFmtId="0" fontId="3" fillId="0" borderId="0" xfId="0" quotePrefix="1" applyFont="1" applyAlignment="1">
      <alignment horizontal="centerContinuous"/>
    </xf>
    <xf numFmtId="3" fontId="3" fillId="0" borderId="0" xfId="0" quotePrefix="1" applyNumberFormat="1" applyFont="1" applyAlignment="1">
      <alignment horizontal="right" wrapText="1"/>
    </xf>
    <xf numFmtId="3" fontId="3" fillId="0" borderId="0" xfId="0" applyNumberFormat="1" applyFont="1" applyAlignment="1">
      <alignment horizontal="right" wrapText="1"/>
    </xf>
    <xf numFmtId="175" fontId="1" fillId="0" borderId="0" xfId="7" applyNumberFormat="1" applyBorder="1"/>
    <xf numFmtId="184" fontId="2" fillId="0" borderId="0" xfId="7" applyNumberFormat="1" applyFont="1"/>
    <xf numFmtId="177" fontId="2" fillId="0" borderId="0" xfId="0" applyNumberFormat="1" applyFont="1" applyAlignment="1">
      <alignment horizontal="right" wrapText="1"/>
    </xf>
    <xf numFmtId="175" fontId="0" fillId="0" borderId="0" xfId="7" applyNumberFormat="1" applyFont="1"/>
    <xf numFmtId="176" fontId="0" fillId="0" borderId="13" xfId="0" applyNumberFormat="1" applyBorder="1"/>
    <xf numFmtId="181" fontId="2" fillId="2" borderId="41" xfId="0" applyNumberFormat="1" applyFont="1" applyFill="1" applyBorder="1"/>
    <xf numFmtId="0" fontId="4" fillId="0" borderId="7" xfId="0" quotePrefix="1" applyFont="1" applyBorder="1" applyAlignment="1">
      <alignment horizontal="left"/>
    </xf>
    <xf numFmtId="0" fontId="2" fillId="0" borderId="0" xfId="0" quotePrefix="1" applyFont="1" applyAlignment="1">
      <alignment horizontal="left" vertical="center"/>
    </xf>
    <xf numFmtId="3" fontId="0" fillId="0" borderId="0" xfId="0" quotePrefix="1" applyNumberFormat="1" applyAlignment="1">
      <alignment horizontal="right"/>
    </xf>
    <xf numFmtId="175" fontId="2" fillId="0" borderId="0" xfId="7" applyNumberFormat="1" applyFont="1" applyBorder="1"/>
    <xf numFmtId="179" fontId="0" fillId="0" borderId="0" xfId="0" applyNumberFormat="1"/>
    <xf numFmtId="0" fontId="2" fillId="0" borderId="0" xfId="0" applyFont="1" applyAlignment="1">
      <alignment horizontal="left" vertical="center" wrapText="1"/>
    </xf>
    <xf numFmtId="0" fontId="0" fillId="0" borderId="0" xfId="0"/>
    <xf numFmtId="0" fontId="2" fillId="0" borderId="0" xfId="0" quotePrefix="1" applyFont="1" applyAlignment="1">
      <alignment horizontal="left" wrapText="1"/>
    </xf>
    <xf numFmtId="0" fontId="0" fillId="0" borderId="0" xfId="0" applyAlignment="1">
      <alignment wrapText="1"/>
    </xf>
    <xf numFmtId="0" fontId="2" fillId="0" borderId="0" xfId="0" quotePrefix="1" applyFont="1" applyAlignment="1">
      <alignment horizontal="left" vertical="center" wrapText="1"/>
    </xf>
    <xf numFmtId="0" fontId="0" fillId="0" borderId="0" xfId="0" applyAlignment="1">
      <alignment vertical="center" wrapText="1"/>
    </xf>
  </cellXfs>
  <cellStyles count="8">
    <cellStyle name="ac" xfId="1" xr:uid="{00000000-0005-0000-0000-000000000000}"/>
    <cellStyle name="Milliers [0]_EDYAN" xfId="2" xr:uid="{00000000-0005-0000-0000-000001000000}"/>
    <cellStyle name="Milliers_EDYAN" xfId="3" xr:uid="{00000000-0005-0000-0000-000002000000}"/>
    <cellStyle name="Monétaire [0]_EDYAN" xfId="4" xr:uid="{00000000-0005-0000-0000-000003000000}"/>
    <cellStyle name="Monétaire_EDYAN" xfId="5" xr:uid="{00000000-0005-0000-0000-000004000000}"/>
    <cellStyle name="Normal" xfId="0" builtinId="0"/>
    <cellStyle name="Normal - Style1" xfId="6" xr:uid="{00000000-0005-0000-0000-000006000000}"/>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9:H11"/>
  <sheetViews>
    <sheetView zoomScale="70" workbookViewId="0"/>
  </sheetViews>
  <sheetFormatPr defaultRowHeight="12.5" x14ac:dyDescent="0.25"/>
  <sheetData>
    <row r="9" spans="1:8" ht="18" x14ac:dyDescent="0.4">
      <c r="A9" s="124" t="s">
        <v>557</v>
      </c>
      <c r="B9" s="77"/>
      <c r="C9" s="77"/>
      <c r="D9" s="77"/>
      <c r="E9" s="77"/>
      <c r="F9" s="77"/>
      <c r="G9" s="77"/>
      <c r="H9" s="77"/>
    </row>
    <row r="10" spans="1:8" ht="18" x14ac:dyDescent="0.4">
      <c r="A10" s="124" t="s">
        <v>395</v>
      </c>
      <c r="B10" s="77"/>
      <c r="C10" s="77"/>
      <c r="D10" s="77"/>
      <c r="E10" s="77"/>
      <c r="F10" s="77"/>
      <c r="G10" s="77"/>
      <c r="H10" s="77"/>
    </row>
    <row r="11" spans="1:8" ht="18" x14ac:dyDescent="0.4">
      <c r="A11" s="124" t="s">
        <v>823</v>
      </c>
      <c r="B11" s="77"/>
      <c r="C11" s="77"/>
      <c r="D11" s="77"/>
      <c r="E11" s="77"/>
      <c r="F11" s="77"/>
      <c r="G11" s="77"/>
      <c r="H11" s="77"/>
    </row>
  </sheetData>
  <phoneticPr fontId="0" type="noConversion"/>
  <printOptions horizontalCentered="1"/>
  <pageMargins left="0.75" right="0.75" top="1" bottom="1" header="0.5" footer="0.5"/>
  <pageSetup orientation="landscape" r:id="rId1"/>
  <headerFooter alignWithMargins="0">
    <oddFooter>&amp;L&amp;F</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pageSetUpPr fitToPage="1"/>
  </sheetPr>
  <dimension ref="A1:K66"/>
  <sheetViews>
    <sheetView zoomScale="70" workbookViewId="0"/>
  </sheetViews>
  <sheetFormatPr defaultRowHeight="12.5" x14ac:dyDescent="0.25"/>
  <cols>
    <col min="1" max="1" width="50" customWidth="1"/>
    <col min="2" max="2" width="11.6328125" customWidth="1"/>
    <col min="3" max="3" width="3.453125" customWidth="1"/>
    <col min="4" max="4" width="11.6328125" customWidth="1"/>
    <col min="5" max="5" width="3.453125" customWidth="1"/>
    <col min="6" max="6" width="11.6328125" customWidth="1"/>
    <col min="7" max="7" width="3.453125" customWidth="1"/>
    <col min="8" max="8" width="11.6328125" customWidth="1"/>
    <col min="9" max="9" width="3.453125" customWidth="1"/>
    <col min="10" max="10" width="11.6328125" customWidth="1"/>
  </cols>
  <sheetData>
    <row r="1" spans="1:10" s="12" customFormat="1" ht="15.5" x14ac:dyDescent="0.35">
      <c r="A1" s="117" t="s">
        <v>552</v>
      </c>
      <c r="B1" s="16"/>
      <c r="C1" s="16"/>
      <c r="D1" s="16"/>
      <c r="E1" s="16"/>
      <c r="F1" s="16"/>
      <c r="G1" s="16"/>
      <c r="H1" s="16"/>
      <c r="I1" s="16"/>
      <c r="J1" s="16"/>
    </row>
    <row r="2" spans="1:10" s="12" customFormat="1" ht="15.5" x14ac:dyDescent="0.35">
      <c r="A2" s="117" t="s">
        <v>787</v>
      </c>
      <c r="B2" s="16"/>
      <c r="C2" s="16"/>
      <c r="D2" s="16"/>
      <c r="E2" s="16"/>
      <c r="F2" s="16"/>
      <c r="G2" s="16"/>
      <c r="H2" s="16"/>
      <c r="I2" s="16"/>
      <c r="J2" s="16"/>
    </row>
    <row r="3" spans="1:10" ht="25" x14ac:dyDescent="0.25">
      <c r="B3" s="125" t="s">
        <v>109</v>
      </c>
      <c r="C3" s="125"/>
      <c r="D3" s="126" t="s">
        <v>104</v>
      </c>
      <c r="E3" s="126"/>
      <c r="F3" s="125" t="s">
        <v>110</v>
      </c>
      <c r="G3" s="125"/>
      <c r="H3" s="127" t="s">
        <v>97</v>
      </c>
      <c r="I3" s="127"/>
      <c r="J3" s="128" t="s">
        <v>105</v>
      </c>
    </row>
    <row r="4" spans="1:10" ht="13" x14ac:dyDescent="0.3">
      <c r="A4" s="14" t="s">
        <v>642</v>
      </c>
    </row>
    <row r="5" spans="1:10" x14ac:dyDescent="0.25">
      <c r="A5" s="258" t="s">
        <v>481</v>
      </c>
      <c r="B5" s="6">
        <f>'Table 3.24-CIOSS Detail'!E13</f>
        <v>465761.33252651728</v>
      </c>
      <c r="C5" s="11" t="s">
        <v>242</v>
      </c>
      <c r="D5" s="61">
        <f>F5/B5</f>
        <v>6.5718313089960734E-2</v>
      </c>
      <c r="F5" s="108">
        <f>'Table 3.24-CIOSS Detail'!K13</f>
        <v>30609.049076174975</v>
      </c>
      <c r="G5" s="11" t="s">
        <v>242</v>
      </c>
      <c r="H5" s="99">
        <f>B5/$B$48</f>
        <v>0.52945582439892713</v>
      </c>
      <c r="J5" s="19">
        <f>D5*H5</f>
        <v>3.4794943635151968E-2</v>
      </c>
    </row>
    <row r="6" spans="1:10" x14ac:dyDescent="0.25">
      <c r="A6" s="258" t="s">
        <v>95</v>
      </c>
      <c r="B6" s="6">
        <f>'Table 3.28-REC Volume'!G13</f>
        <v>176989.30636007659</v>
      </c>
      <c r="C6" s="11" t="s">
        <v>243</v>
      </c>
      <c r="D6" s="61">
        <f>F6/B6</f>
        <v>0</v>
      </c>
      <c r="F6" s="108">
        <v>0</v>
      </c>
      <c r="G6" s="11"/>
      <c r="H6" s="99">
        <f>B6/$B$48</f>
        <v>0.20119321327159234</v>
      </c>
      <c r="J6" s="19">
        <f>D6*H6</f>
        <v>0</v>
      </c>
    </row>
    <row r="7" spans="1:10" x14ac:dyDescent="0.25">
      <c r="A7" s="166" t="s">
        <v>499</v>
      </c>
      <c r="B7" s="6">
        <f>'Table 3.28-REC Volume'!H13</f>
        <v>265483.95954011485</v>
      </c>
      <c r="C7" s="11" t="s">
        <v>243</v>
      </c>
      <c r="D7" s="61">
        <f>F7/B7</f>
        <v>0.10559546049249728</v>
      </c>
      <c r="F7" s="108">
        <f>'Table 3.26-REC Detail NonACS'!K13</f>
        <v>28033.900961009946</v>
      </c>
      <c r="G7" s="11" t="s">
        <v>582</v>
      </c>
      <c r="H7" s="99">
        <f>B7/$B$48</f>
        <v>0.30178981990738846</v>
      </c>
      <c r="J7" s="19">
        <f>D7*H7</f>
        <v>3.1867635005068506E-2</v>
      </c>
    </row>
    <row r="8" spans="1:10" x14ac:dyDescent="0.25">
      <c r="A8" s="166" t="s">
        <v>676</v>
      </c>
      <c r="B8" s="6">
        <v>0</v>
      </c>
      <c r="D8" s="61">
        <v>0</v>
      </c>
      <c r="F8" s="108">
        <v>0</v>
      </c>
      <c r="H8" s="99">
        <f>B8/$B$48</f>
        <v>0</v>
      </c>
      <c r="J8" s="19">
        <f>D8*H8</f>
        <v>0</v>
      </c>
    </row>
    <row r="9" spans="1:10" x14ac:dyDescent="0.25">
      <c r="A9" s="166" t="s">
        <v>488</v>
      </c>
      <c r="B9" s="6">
        <f>'Table 3.18-Nixie UAA'!D37</f>
        <v>23288.066626325868</v>
      </c>
      <c r="C9" s="11" t="s">
        <v>244</v>
      </c>
      <c r="D9" s="61">
        <f>F9/B9</f>
        <v>1.9056723013143855E-2</v>
      </c>
      <c r="F9" s="108">
        <f>'Table 3.18-Nixie UAA'!I37</f>
        <v>443.79423520953156</v>
      </c>
      <c r="G9" s="11" t="s">
        <v>244</v>
      </c>
      <c r="H9" s="99">
        <f>B9/$B$48</f>
        <v>2.6472791219946362E-2</v>
      </c>
      <c r="J9" s="19">
        <f>D9*H9</f>
        <v>5.0448464966330441E-4</v>
      </c>
    </row>
    <row r="10" spans="1:10" x14ac:dyDescent="0.25">
      <c r="A10" s="60" t="s">
        <v>102</v>
      </c>
      <c r="B10" s="6">
        <f>B5</f>
        <v>465761.33252651728</v>
      </c>
      <c r="D10" s="61">
        <f>F10/B10</f>
        <v>0.12686056172134139</v>
      </c>
      <c r="F10" s="81">
        <f>SUM(F5:F9)</f>
        <v>59086.744272394455</v>
      </c>
      <c r="H10" s="104"/>
      <c r="J10" s="19">
        <f>SUM(J5:J9)</f>
        <v>6.7167063289883783E-2</v>
      </c>
    </row>
    <row r="11" spans="1:10" ht="5.15" customHeight="1" x14ac:dyDescent="0.25">
      <c r="A11" s="60"/>
      <c r="B11" s="6"/>
      <c r="F11" s="81"/>
      <c r="H11" s="104"/>
    </row>
    <row r="12" spans="1:10" ht="13" x14ac:dyDescent="0.3">
      <c r="A12" s="14" t="s">
        <v>643</v>
      </c>
      <c r="B12" s="6"/>
      <c r="F12" s="81"/>
      <c r="H12" s="104"/>
    </row>
    <row r="13" spans="1:10" x14ac:dyDescent="0.25">
      <c r="A13" s="258" t="s">
        <v>481</v>
      </c>
      <c r="B13" s="6">
        <f>SUM('Table 3.24-CIOSS Detail'!E6,'Table 3.24-CIOSS Detail'!E10)</f>
        <v>111870.82633412878</v>
      </c>
      <c r="C13" s="11" t="s">
        <v>242</v>
      </c>
      <c r="D13" s="61">
        <f>F13/B13</f>
        <v>6.5718313089960748E-2</v>
      </c>
      <c r="F13" s="108">
        <f>SUM('Table 3.24-CIOSS Detail'!K6,'Table 3.24-CIOSS Detail'!K10)</f>
        <v>7351.9619906589005</v>
      </c>
      <c r="G13" s="11" t="s">
        <v>242</v>
      </c>
      <c r="H13" s="99">
        <f>B13/$B$48</f>
        <v>0.12716955325945434</v>
      </c>
      <c r="J13" s="19">
        <f>D13*H13</f>
        <v>8.357368516615258E-3</v>
      </c>
    </row>
    <row r="14" spans="1:10" x14ac:dyDescent="0.25">
      <c r="A14" s="258" t="s">
        <v>95</v>
      </c>
      <c r="B14" s="6">
        <f>SUM('Table 3.28-REC Volume'!G6,'Table 3.28-REC Volume'!G10)</f>
        <v>43947.098356970644</v>
      </c>
      <c r="C14" s="11" t="s">
        <v>243</v>
      </c>
      <c r="D14" s="61">
        <f>F14/B14</f>
        <v>0</v>
      </c>
      <c r="F14" s="108">
        <v>0</v>
      </c>
      <c r="H14" s="99">
        <f>B14/$B$48</f>
        <v>4.9957017823513514E-2</v>
      </c>
      <c r="J14" s="19">
        <f>D14*H14</f>
        <v>0</v>
      </c>
    </row>
    <row r="15" spans="1:10" x14ac:dyDescent="0.25">
      <c r="A15" s="166" t="s">
        <v>499</v>
      </c>
      <c r="B15" s="6">
        <f>SUM('Table 3.28-REC Volume'!H6)</f>
        <v>5293.15104609845</v>
      </c>
      <c r="C15" s="11" t="s">
        <v>243</v>
      </c>
      <c r="D15" s="61">
        <f>F15/B15</f>
        <v>0.1055954604924973</v>
      </c>
      <c r="F15" s="81">
        <f>SUM('Table 3.26-REC Detail NonACS'!K6)</f>
        <v>558.93272216910964</v>
      </c>
      <c r="G15" s="11" t="s">
        <v>582</v>
      </c>
      <c r="H15" s="99">
        <f>B15/$B$48</f>
        <v>6.0170079718254495E-3</v>
      </c>
      <c r="J15" s="19">
        <f>D15*H15</f>
        <v>6.3536872757193551E-4</v>
      </c>
    </row>
    <row r="16" spans="1:10" x14ac:dyDescent="0.25">
      <c r="A16" s="166" t="s">
        <v>676</v>
      </c>
      <c r="B16" s="6">
        <f>SUM('Table 3.28-REC Volume'!H10)</f>
        <v>60627.496489357502</v>
      </c>
      <c r="C16" s="11" t="s">
        <v>243</v>
      </c>
      <c r="D16" s="61">
        <f>F16/B16</f>
        <v>5.2797730246248648E-2</v>
      </c>
      <c r="F16" s="81">
        <f>SUM('Table 3.26-REC Detail NonACS'!K10)</f>
        <v>3200.994205150484</v>
      </c>
      <c r="G16" s="11" t="s">
        <v>582</v>
      </c>
      <c r="H16" s="99">
        <f>B16/$B$48</f>
        <v>6.8918518763444805E-2</v>
      </c>
      <c r="J16" s="19">
        <f>D16*H16</f>
        <v>3.6387413626433845E-3</v>
      </c>
    </row>
    <row r="17" spans="1:10" x14ac:dyDescent="0.25">
      <c r="A17" s="166" t="s">
        <v>489</v>
      </c>
      <c r="B17" s="6">
        <v>2003.0804417021873</v>
      </c>
      <c r="C17" s="11" t="s">
        <v>586</v>
      </c>
      <c r="D17" s="61">
        <f>'Table 3.21-CFS CIOSS Rejs'!I19</f>
        <v>0.31369060299387685</v>
      </c>
      <c r="E17" s="11" t="s">
        <v>587</v>
      </c>
      <c r="F17" s="81">
        <f>B17*D17</f>
        <v>628.3475116028003</v>
      </c>
      <c r="H17" s="99">
        <f>B17/$B$48</f>
        <v>2.2770087006705707E-3</v>
      </c>
      <c r="J17" s="19">
        <f>D17*H17</f>
        <v>7.142762323356554E-4</v>
      </c>
    </row>
    <row r="18" spans="1:10" x14ac:dyDescent="0.25">
      <c r="A18" s="60" t="s">
        <v>102</v>
      </c>
      <c r="B18" s="6">
        <f>B13</f>
        <v>111870.82633412878</v>
      </c>
      <c r="D18" s="61">
        <f>F18/B18</f>
        <v>0.10494457593900569</v>
      </c>
      <c r="F18" s="81">
        <f>SUM(F13:F17)</f>
        <v>11740.236429581295</v>
      </c>
      <c r="H18" s="104"/>
      <c r="J18" s="19">
        <f>SUM(J13:J17)</f>
        <v>1.3345754839166234E-2</v>
      </c>
    </row>
    <row r="19" spans="1:10" ht="5.15" customHeight="1" x14ac:dyDescent="0.25"/>
    <row r="20" spans="1:10" ht="13" x14ac:dyDescent="0.3">
      <c r="A20" s="14" t="s">
        <v>644</v>
      </c>
    </row>
    <row r="21" spans="1:10" x14ac:dyDescent="0.25">
      <c r="A21" s="258" t="s">
        <v>307</v>
      </c>
      <c r="B21" s="6">
        <f>'Table 3.16-Route UAA PARS'!D108</f>
        <v>5887.9382281120461</v>
      </c>
      <c r="C21" s="205" t="s">
        <v>590</v>
      </c>
      <c r="D21" s="61">
        <f t="shared" ref="D21:D26" si="0">F21/B21</f>
        <v>6.7170757445728313E-2</v>
      </c>
      <c r="E21" s="205"/>
      <c r="F21" s="108">
        <f>'Table 3.16-Route UAA PARS'!J108</f>
        <v>395.49727057594561</v>
      </c>
      <c r="G21" s="205" t="s">
        <v>590</v>
      </c>
      <c r="H21" s="99">
        <f t="shared" ref="H21:H27" si="1">B21/$B$48</f>
        <v>6.69313438207655E-3</v>
      </c>
      <c r="J21" s="19">
        <f t="shared" ref="J21:J27" si="2">D21*H21</f>
        <v>4.4958290613012858E-4</v>
      </c>
    </row>
    <row r="22" spans="1:10" x14ac:dyDescent="0.25">
      <c r="A22" s="258" t="s">
        <v>495</v>
      </c>
      <c r="B22" s="6">
        <f>'Table 3.18-Nixie UAA'!D8</f>
        <v>5887.9382281120479</v>
      </c>
      <c r="C22" s="205" t="s">
        <v>591</v>
      </c>
      <c r="D22" s="61">
        <f t="shared" si="0"/>
        <v>7.6674239613658771E-3</v>
      </c>
      <c r="E22" s="205"/>
      <c r="F22" s="108">
        <f>'Table 3.18-Nixie UAA'!I8</f>
        <v>45.145318653268461</v>
      </c>
      <c r="G22" s="205" t="s">
        <v>591</v>
      </c>
      <c r="H22" s="99">
        <f t="shared" si="1"/>
        <v>6.6931343820765517E-3</v>
      </c>
      <c r="J22" s="19">
        <f t="shared" si="2"/>
        <v>5.1319098937775549E-5</v>
      </c>
    </row>
    <row r="23" spans="1:10" x14ac:dyDescent="0.25">
      <c r="A23" s="258" t="s">
        <v>481</v>
      </c>
      <c r="B23" s="6">
        <f>SUM('Table 3.24-CIOSS Detail'!E21,'Table 3.24-CIOSS Detail'!E25)</f>
        <v>5887.9382281120461</v>
      </c>
      <c r="C23" s="11" t="s">
        <v>242</v>
      </c>
      <c r="D23" s="61">
        <f t="shared" si="0"/>
        <v>4.9483068919451034E-2</v>
      </c>
      <c r="E23" s="205"/>
      <c r="F23" s="108">
        <f>SUM('Table 3.24-CIOSS Detail'!K21,'Table 3.24-CIOSS Detail'!K25)</f>
        <v>291.3532531351388</v>
      </c>
      <c r="G23" s="11" t="s">
        <v>242</v>
      </c>
      <c r="H23" s="99">
        <f t="shared" si="1"/>
        <v>6.69313438207655E-3</v>
      </c>
      <c r="J23" s="19">
        <f t="shared" si="2"/>
        <v>3.3119682991544124E-4</v>
      </c>
    </row>
    <row r="24" spans="1:10" x14ac:dyDescent="0.25">
      <c r="A24" s="258" t="s">
        <v>95</v>
      </c>
      <c r="B24" s="6">
        <f>SUM('Table 3.28-REC Volume'!G21,'Table 3.28-REC Volume'!G25)</f>
        <v>1329.9779765925334</v>
      </c>
      <c r="C24" s="11" t="s">
        <v>243</v>
      </c>
      <c r="D24" s="61">
        <f t="shared" si="0"/>
        <v>0</v>
      </c>
      <c r="F24" s="108">
        <v>0</v>
      </c>
      <c r="H24" s="99">
        <f t="shared" si="1"/>
        <v>1.5118571183431731E-3</v>
      </c>
      <c r="J24" s="19">
        <f t="shared" si="2"/>
        <v>0</v>
      </c>
    </row>
    <row r="25" spans="1:10" x14ac:dyDescent="0.25">
      <c r="A25" s="166" t="s">
        <v>499</v>
      </c>
      <c r="B25" s="6">
        <f>SUM('Table 3.28-REC Volume'!H21)</f>
        <v>357.51985135928163</v>
      </c>
      <c r="C25" s="11" t="s">
        <v>243</v>
      </c>
      <c r="D25" s="61">
        <f t="shared" si="0"/>
        <v>0.10559546049249728</v>
      </c>
      <c r="E25" s="205"/>
      <c r="F25" s="108">
        <f>SUM('Table 3.26-REC Detail NonACS'!K21)</f>
        <v>37.752473339492525</v>
      </c>
      <c r="G25" s="11" t="s">
        <v>582</v>
      </c>
      <c r="H25" s="99">
        <f t="shared" si="1"/>
        <v>4.0641194195663164E-4</v>
      </c>
      <c r="J25" s="19">
        <f t="shared" si="2"/>
        <v>4.2915256160560596E-5</v>
      </c>
    </row>
    <row r="26" spans="1:10" ht="12.75" customHeight="1" x14ac:dyDescent="0.25">
      <c r="A26" s="166" t="s">
        <v>676</v>
      </c>
      <c r="B26" s="6">
        <f>SUM('Table 3.28-REC Volume'!H25)</f>
        <v>4095.0151137548523</v>
      </c>
      <c r="C26" s="11" t="s">
        <v>243</v>
      </c>
      <c r="D26" s="61">
        <f t="shared" si="0"/>
        <v>5.2797730246248648E-2</v>
      </c>
      <c r="E26" s="205"/>
      <c r="F26" s="108">
        <f>SUM('Table 3.26-REC Detail NonACS'!K25)</f>
        <v>216.2075033303399</v>
      </c>
      <c r="G26" s="11" t="s">
        <v>582</v>
      </c>
      <c r="H26" s="99">
        <f t="shared" si="1"/>
        <v>4.6550227585835571E-3</v>
      </c>
      <c r="J26" s="19">
        <f t="shared" si="2"/>
        <v>2.4577463589784288E-4</v>
      </c>
    </row>
    <row r="27" spans="1:10" x14ac:dyDescent="0.25">
      <c r="A27" s="166" t="s">
        <v>489</v>
      </c>
      <c r="B27" s="6">
        <f>'Table 3.21-CFS CIOSS Rejs'!B19-B17</f>
        <v>105.4252864053783</v>
      </c>
      <c r="C27" s="205" t="s">
        <v>592</v>
      </c>
      <c r="D27" s="61">
        <f>'Table 3.21-CFS CIOSS Rejs'!I19</f>
        <v>0.31369060299387685</v>
      </c>
      <c r="E27" s="11" t="s">
        <v>587</v>
      </c>
      <c r="F27" s="81">
        <f>B27*D27</f>
        <v>33.070921663305285</v>
      </c>
      <c r="H27" s="99">
        <f t="shared" si="1"/>
        <v>1.1984256319318795E-4</v>
      </c>
      <c r="J27" s="19">
        <f t="shared" si="2"/>
        <v>3.7593485912402922E-5</v>
      </c>
    </row>
    <row r="28" spans="1:10" x14ac:dyDescent="0.25">
      <c r="A28" s="60" t="s">
        <v>102</v>
      </c>
      <c r="B28" s="6">
        <f>B21</f>
        <v>5887.9382281120461</v>
      </c>
      <c r="D28" s="61">
        <f>F28/B28</f>
        <v>0.17307021595983002</v>
      </c>
      <c r="F28" s="81">
        <f>SUM(F21:F27)</f>
        <v>1019.0267406974907</v>
      </c>
      <c r="H28" s="104"/>
      <c r="J28" s="19">
        <f>SUM(J21:J27)</f>
        <v>1.1583822129541518E-3</v>
      </c>
    </row>
    <row r="29" spans="1:10" ht="5.15" customHeight="1" x14ac:dyDescent="0.25">
      <c r="A29" s="60"/>
      <c r="B29" s="6"/>
      <c r="F29" s="81"/>
      <c r="H29" s="104"/>
    </row>
    <row r="30" spans="1:10" ht="12.75" customHeight="1" x14ac:dyDescent="0.3">
      <c r="A30" s="14" t="s">
        <v>645</v>
      </c>
      <c r="B30" s="6"/>
      <c r="F30" s="81"/>
      <c r="H30" s="104"/>
    </row>
    <row r="31" spans="1:10" ht="12.75" customHeight="1" x14ac:dyDescent="0.25">
      <c r="A31" s="258" t="s">
        <v>481</v>
      </c>
      <c r="B31" s="6">
        <f>'Table 3.24-CIOSS Detail'!E16</f>
        <v>20400.87122054397</v>
      </c>
      <c r="C31" s="11" t="s">
        <v>242</v>
      </c>
      <c r="D31" s="61">
        <f>F31/B31</f>
        <v>6.5718313089960748E-2</v>
      </c>
      <c r="F31" s="81">
        <f>'Table 3.24-CIOSS Detail'!K16</f>
        <v>1340.7108421796784</v>
      </c>
      <c r="G31" s="11" t="s">
        <v>242</v>
      </c>
      <c r="H31" s="99">
        <f>B31/$B$48</f>
        <v>2.3190761740433871E-2</v>
      </c>
      <c r="J31" s="19">
        <f>D31*H31</f>
        <v>1.5240577408525162E-3</v>
      </c>
    </row>
    <row r="32" spans="1:10" ht="12.75" customHeight="1" x14ac:dyDescent="0.25">
      <c r="A32" s="258" t="s">
        <v>95</v>
      </c>
      <c r="B32" s="6">
        <f>'Table 3.28-REC Volume'!G16</f>
        <v>8037.9432608943243</v>
      </c>
      <c r="C32" s="11" t="s">
        <v>243</v>
      </c>
      <c r="D32" s="61">
        <f>F32/B32</f>
        <v>0</v>
      </c>
      <c r="F32" s="81">
        <v>0</v>
      </c>
      <c r="H32" s="99">
        <f>B32/$B$48</f>
        <v>9.1371601257309448E-3</v>
      </c>
      <c r="J32" s="19">
        <f>D32*H32</f>
        <v>0</v>
      </c>
    </row>
    <row r="33" spans="1:10" ht="12.75" customHeight="1" x14ac:dyDescent="0.25">
      <c r="A33" s="166" t="s">
        <v>499</v>
      </c>
      <c r="B33" s="6">
        <v>0</v>
      </c>
      <c r="D33" s="61">
        <v>0</v>
      </c>
      <c r="F33" s="108">
        <v>0</v>
      </c>
      <c r="H33" s="99">
        <f>B33/$B$48</f>
        <v>0</v>
      </c>
      <c r="J33" s="19">
        <f>D33*H33</f>
        <v>0</v>
      </c>
    </row>
    <row r="34" spans="1:10" ht="12.75" customHeight="1" x14ac:dyDescent="0.25">
      <c r="A34" s="166" t="s">
        <v>676</v>
      </c>
      <c r="B34" s="6">
        <f>'Table 3.28-REC Volume'!H16</f>
        <v>12056.914891341487</v>
      </c>
      <c r="C34" s="11" t="s">
        <v>243</v>
      </c>
      <c r="D34" s="61">
        <f>F34/B34</f>
        <v>5.2797730246248634E-2</v>
      </c>
      <c r="E34" s="205"/>
      <c r="F34" s="108">
        <f>SUM('Table 3.26-REC Detail NonACS'!K16)</f>
        <v>636.57774003502595</v>
      </c>
      <c r="G34" s="11" t="s">
        <v>582</v>
      </c>
      <c r="H34" s="99">
        <f>B34/$B$48</f>
        <v>1.3705740188596417E-2</v>
      </c>
      <c r="J34" s="19">
        <f>D34*H34</f>
        <v>7.2363197330268256E-4</v>
      </c>
    </row>
    <row r="35" spans="1:10" ht="12.75" customHeight="1" x14ac:dyDescent="0.25">
      <c r="A35" s="166" t="s">
        <v>489</v>
      </c>
      <c r="B35" s="6">
        <v>306.01306830815975</v>
      </c>
      <c r="C35" s="11" t="s">
        <v>593</v>
      </c>
      <c r="D35" s="61">
        <f>'Table 3.21-CFS CIOSS Rejs'!I76</f>
        <v>2.5265756927347054E-2</v>
      </c>
      <c r="E35" s="11" t="s">
        <v>587</v>
      </c>
      <c r="F35" s="81">
        <f>B35*D35</f>
        <v>7.7316518004656141</v>
      </c>
      <c r="H35" s="99">
        <f>B35/$B$48</f>
        <v>3.478614261065083E-4</v>
      </c>
      <c r="J35" s="19">
        <f>D35*H35</f>
        <v>8.7889822364073369E-6</v>
      </c>
    </row>
    <row r="36" spans="1:10" ht="12.75" customHeight="1" x14ac:dyDescent="0.25">
      <c r="A36" s="60" t="s">
        <v>102</v>
      </c>
      <c r="B36" s="6">
        <f>B31</f>
        <v>20400.87122054397</v>
      </c>
      <c r="D36" s="61">
        <f>F36/B36</f>
        <v>9.730075801940391E-2</v>
      </c>
      <c r="F36" s="81">
        <f>SUM(F31:F35)</f>
        <v>1985.02023401517</v>
      </c>
      <c r="H36" s="104"/>
      <c r="J36" s="19">
        <f>SUM(J31:J35)</f>
        <v>2.256478696391606E-3</v>
      </c>
    </row>
    <row r="37" spans="1:10" ht="5.15" customHeight="1" x14ac:dyDescent="0.25">
      <c r="A37" s="60"/>
      <c r="B37" s="6"/>
      <c r="F37" s="81"/>
      <c r="H37" s="104"/>
    </row>
    <row r="38" spans="1:10" ht="12.75" customHeight="1" x14ac:dyDescent="0.3">
      <c r="A38" s="14" t="s">
        <v>646</v>
      </c>
      <c r="B38" s="6"/>
      <c r="F38" s="81"/>
      <c r="H38" s="104"/>
    </row>
    <row r="39" spans="1:10" ht="12.75" customHeight="1" x14ac:dyDescent="0.25">
      <c r="A39" s="258" t="s">
        <v>307</v>
      </c>
      <c r="B39" s="6">
        <f>'Table 3.16-Route UAA PARS'!D101</f>
        <v>275777.22569069773</v>
      </c>
      <c r="C39" s="205" t="s">
        <v>590</v>
      </c>
      <c r="D39" s="61">
        <f>F39/B39</f>
        <v>7.5395912113740249E-2</v>
      </c>
      <c r="F39" s="81">
        <f>'Table 3.16-Route UAA PARS'!J101</f>
        <v>20792.475471146954</v>
      </c>
      <c r="G39" s="205" t="s">
        <v>590</v>
      </c>
      <c r="H39" s="99">
        <f t="shared" ref="H39:H45" si="3">B39/$B$48</f>
        <v>0.31349072621910801</v>
      </c>
      <c r="J39" s="19">
        <f t="shared" ref="J39:J45" si="4">D39*H39</f>
        <v>2.3635919242488472E-2</v>
      </c>
    </row>
    <row r="40" spans="1:10" ht="12.75" customHeight="1" x14ac:dyDescent="0.25">
      <c r="A40" s="258" t="s">
        <v>495</v>
      </c>
      <c r="B40" s="6">
        <f>'Table 3.18-Nixie UAA'!D11</f>
        <v>275777.22569069779</v>
      </c>
      <c r="C40" s="205" t="s">
        <v>591</v>
      </c>
      <c r="D40" s="61">
        <f>F40/B40</f>
        <v>7.667423961365878E-3</v>
      </c>
      <c r="F40" s="81">
        <f>'Table 3.18-Nixie UAA'!I11</f>
        <v>2114.5009082598617</v>
      </c>
      <c r="G40" s="205" t="s">
        <v>591</v>
      </c>
      <c r="H40" s="99">
        <f t="shared" si="3"/>
        <v>0.31349072621910806</v>
      </c>
      <c r="J40" s="19">
        <f t="shared" si="4"/>
        <v>2.4036663058783795E-3</v>
      </c>
    </row>
    <row r="41" spans="1:10" ht="12.75" customHeight="1" x14ac:dyDescent="0.25">
      <c r="A41" s="258" t="s">
        <v>481</v>
      </c>
      <c r="B41" s="6">
        <f>SUM('Table 3.24-CIOSS Detail'!E31,'Table 3.24-CIOSS Detail'!E37)</f>
        <v>275777.22569069784</v>
      </c>
      <c r="C41" s="11" t="s">
        <v>242</v>
      </c>
      <c r="D41" s="61">
        <f>F41/B41</f>
        <v>3.3560841555013633E-2</v>
      </c>
      <c r="F41" s="81">
        <f>SUM('Table 3.24-CIOSS Detail'!K31,'Table 3.24-CIOSS Detail'!K37)</f>
        <v>9255.3157758867455</v>
      </c>
      <c r="G41" s="11" t="s">
        <v>242</v>
      </c>
      <c r="H41" s="99">
        <f t="shared" si="3"/>
        <v>0.31349072621910812</v>
      </c>
      <c r="J41" s="19">
        <f t="shared" si="4"/>
        <v>1.0521012591605646E-2</v>
      </c>
    </row>
    <row r="42" spans="1:10" ht="12.75" customHeight="1" x14ac:dyDescent="0.25">
      <c r="A42" s="258" t="s">
        <v>95</v>
      </c>
      <c r="B42" s="6">
        <f>SUM('Table 3.28-REC Volume'!G31,'Table 3.28-REC Volume'!G37)</f>
        <v>108476.4308228781</v>
      </c>
      <c r="C42" s="11" t="s">
        <v>243</v>
      </c>
      <c r="D42" s="61">
        <f>F42/B42</f>
        <v>0</v>
      </c>
      <c r="F42" s="81">
        <v>0</v>
      </c>
      <c r="H42" s="99">
        <f t="shared" si="3"/>
        <v>0.12331096228541094</v>
      </c>
      <c r="J42" s="19">
        <f t="shared" si="4"/>
        <v>0</v>
      </c>
    </row>
    <row r="43" spans="1:10" ht="12.75" customHeight="1" x14ac:dyDescent="0.25">
      <c r="A43" s="166" t="s">
        <v>499</v>
      </c>
      <c r="B43" s="6">
        <v>0</v>
      </c>
      <c r="C43" s="11"/>
      <c r="D43" s="61">
        <v>0</v>
      </c>
      <c r="F43" s="108">
        <v>0</v>
      </c>
      <c r="H43" s="99">
        <f t="shared" si="3"/>
        <v>0</v>
      </c>
      <c r="J43" s="19">
        <f t="shared" si="4"/>
        <v>0</v>
      </c>
    </row>
    <row r="44" spans="1:10" ht="12.75" customHeight="1" x14ac:dyDescent="0.25">
      <c r="A44" s="166" t="s">
        <v>676</v>
      </c>
      <c r="B44" s="6">
        <f>SUM('Table 3.28-REC Volume'!H31,'Table 3.28-REC Volume'!H37)</f>
        <v>163164.13648245926</v>
      </c>
      <c r="C44" s="11" t="s">
        <v>243</v>
      </c>
      <c r="D44" s="61">
        <f>F44/B44</f>
        <v>5.2797730246248654E-2</v>
      </c>
      <c r="E44" s="205"/>
      <c r="F44" s="81">
        <f>SUM('Table 3.26-REC Detail NonACS'!K31,'Table 3.26-REC Detail NonACS'!K37)</f>
        <v>8614.6960638629826</v>
      </c>
      <c r="G44" s="11" t="s">
        <v>582</v>
      </c>
      <c r="H44" s="99">
        <f t="shared" si="3"/>
        <v>0.18547740304041055</v>
      </c>
      <c r="J44" s="19">
        <f t="shared" si="4"/>
        <v>9.792785892502336E-3</v>
      </c>
    </row>
    <row r="45" spans="1:10" ht="12.75" customHeight="1" x14ac:dyDescent="0.25">
      <c r="A45" s="166" t="s">
        <v>489</v>
      </c>
      <c r="B45" s="6">
        <f>'Table 3.21-CFS CIOSS Rejs'!B76-B35</f>
        <v>4136.6583853604661</v>
      </c>
      <c r="C45" s="11" t="s">
        <v>594</v>
      </c>
      <c r="D45" s="61">
        <f>'Table 3.21-CFS CIOSS Rejs'!I76</f>
        <v>2.5265756927347054E-2</v>
      </c>
      <c r="E45" s="11" t="s">
        <v>587</v>
      </c>
      <c r="F45" s="81">
        <f>B45*D45</f>
        <v>104.51580525598948</v>
      </c>
      <c r="H45" s="99">
        <f t="shared" si="3"/>
        <v>4.7023608932866201E-3</v>
      </c>
      <c r="J45" s="19">
        <f t="shared" si="4"/>
        <v>1.1880870731444231E-4</v>
      </c>
    </row>
    <row r="46" spans="1:10" ht="12.75" customHeight="1" x14ac:dyDescent="0.25">
      <c r="A46" s="60" t="s">
        <v>102</v>
      </c>
      <c r="B46" s="6">
        <f>B39</f>
        <v>275777.22569069773</v>
      </c>
      <c r="D46" s="61">
        <f>F46/B46</f>
        <v>0.14824104464037152</v>
      </c>
      <c r="F46" s="81">
        <f>SUM(F39:F45)</f>
        <v>40881.504024412534</v>
      </c>
      <c r="H46" s="104"/>
      <c r="J46" s="19">
        <f>SUM(J39:J45)</f>
        <v>4.6472192739789274E-2</v>
      </c>
    </row>
    <row r="47" spans="1:10" ht="5.15" customHeight="1" x14ac:dyDescent="0.25">
      <c r="A47" s="60"/>
      <c r="B47" s="6"/>
      <c r="F47" s="81"/>
      <c r="H47" s="104"/>
    </row>
    <row r="48" spans="1:10" ht="13" x14ac:dyDescent="0.3">
      <c r="A48" s="14" t="s">
        <v>504</v>
      </c>
      <c r="B48" s="260">
        <f>SUM(B10,B18,B28,B36,B46)</f>
        <v>879698.1939999999</v>
      </c>
      <c r="D48" s="61"/>
      <c r="F48" s="368">
        <f>SUM(F10,F18,F28,F36,F46)</f>
        <v>114712.53170110096</v>
      </c>
      <c r="H48" s="104"/>
      <c r="J48" s="311">
        <f>SUM(J10,J18,J28,J36,J46)</f>
        <v>0.13039987177818504</v>
      </c>
    </row>
    <row r="49" spans="1:11" ht="13" hidden="1" x14ac:dyDescent="0.3">
      <c r="A49" s="5"/>
      <c r="B49" s="167"/>
      <c r="F49" s="262"/>
      <c r="H49" s="6"/>
      <c r="J49" s="6"/>
    </row>
    <row r="50" spans="1:11" hidden="1" x14ac:dyDescent="0.25">
      <c r="A50" s="20" t="s">
        <v>191</v>
      </c>
      <c r="B50" s="105">
        <f>B5-SUM(B6:B9)</f>
        <v>0</v>
      </c>
      <c r="G50" s="365" t="s">
        <v>311</v>
      </c>
      <c r="H50" s="6">
        <f>SUM('Table 3.16-Route UAA PARS'!J101,'Table 3.16-Route UAA PARS'!J108)</f>
        <v>21187.972741722901</v>
      </c>
      <c r="J50" s="6">
        <f>SUM(F21,F39)</f>
        <v>21187.972741722901</v>
      </c>
      <c r="K50" s="105">
        <f t="shared" ref="K50:K55" si="5">H50-J50</f>
        <v>0</v>
      </c>
    </row>
    <row r="51" spans="1:11" ht="13" hidden="1" x14ac:dyDescent="0.3">
      <c r="A51" s="5"/>
      <c r="B51" s="105">
        <f>B13-SUM(B14:B17)</f>
        <v>0</v>
      </c>
      <c r="G51" s="36" t="s">
        <v>312</v>
      </c>
      <c r="H51" s="6">
        <f>SUM('Table 3.18-Nixie UAA'!I8,'Table 3.18-Nixie UAA'!I11,'Table 3.18-Nixie UAA'!I35,'Table 3.18-Nixie UAA'!I37)</f>
        <v>2603.4404621226618</v>
      </c>
      <c r="J51" s="6">
        <f>SUM(F9,F22,F40)</f>
        <v>2603.4404621226618</v>
      </c>
      <c r="K51" s="105">
        <f t="shared" si="5"/>
        <v>0</v>
      </c>
    </row>
    <row r="52" spans="1:11" ht="13" hidden="1" x14ac:dyDescent="0.3">
      <c r="A52" s="5"/>
      <c r="B52" s="105">
        <f>B28-SUM(B24:B27)</f>
        <v>0</v>
      </c>
      <c r="G52" s="36" t="s">
        <v>313</v>
      </c>
      <c r="H52" s="6">
        <f>SUM('Table 3.21-CFS CIOSS Rejs'!H19,'Table 3.21-CFS CIOSS Rejs'!H76)</f>
        <v>773.6658903225607</v>
      </c>
      <c r="J52" s="6">
        <f>SUM(F17,F27,F35,F45)</f>
        <v>773.6658903225607</v>
      </c>
      <c r="K52" s="105">
        <f t="shared" si="5"/>
        <v>0</v>
      </c>
    </row>
    <row r="53" spans="1:11" ht="13" hidden="1" x14ac:dyDescent="0.3">
      <c r="A53" s="5"/>
      <c r="B53" s="105">
        <f>B31-SUM(B32:B35)</f>
        <v>0</v>
      </c>
      <c r="G53" s="365" t="s">
        <v>502</v>
      </c>
      <c r="H53" s="6">
        <f>SUM('Table 3.23-CIOSS Summary'!I6,'Table 3.23-CIOSS Summary'!I10,'Table 3.23-CIOSS Summary'!I13)</f>
        <v>48848.390938035438</v>
      </c>
      <c r="J53" s="6">
        <f>SUM(F5,F13,F23,F31,F41)</f>
        <v>48848.390938035438</v>
      </c>
      <c r="K53" s="105">
        <f t="shared" si="5"/>
        <v>0</v>
      </c>
    </row>
    <row r="54" spans="1:11" ht="13" hidden="1" x14ac:dyDescent="0.3">
      <c r="A54" s="5"/>
      <c r="B54" s="105">
        <f>B41-SUM(B42:B45)</f>
        <v>0</v>
      </c>
      <c r="G54" s="365" t="s">
        <v>503</v>
      </c>
      <c r="H54" s="6">
        <f>SUM('Table 3.25-REC Summary'!K6,'Table 3.25-REC Summary'!K10,'Table 3.25-REC Summary'!K13)</f>
        <v>41299.061668897382</v>
      </c>
      <c r="J54" s="6">
        <f>SUM(F7:F8,F15:F16,F25:F26,F33:F34,F43:F44)</f>
        <v>41299.061668897382</v>
      </c>
      <c r="K54" s="105">
        <f t="shared" si="5"/>
        <v>0</v>
      </c>
    </row>
    <row r="55" spans="1:11" ht="13" hidden="1" x14ac:dyDescent="0.3">
      <c r="A55" s="5"/>
      <c r="B55" s="105">
        <f>B48-SUM('Table 3.23-CIOSS Summary'!C6,'Table 3.23-CIOSS Summary'!C10,'Table 3.23-CIOSS Summary'!C13)</f>
        <v>0</v>
      </c>
      <c r="G55" s="36" t="s">
        <v>314</v>
      </c>
      <c r="H55" s="6">
        <f>SUM(H50:H54)</f>
        <v>114712.53170110095</v>
      </c>
      <c r="J55" s="6">
        <f>SUM(J50:J54)</f>
        <v>114712.53170110095</v>
      </c>
      <c r="K55" s="105">
        <f t="shared" si="5"/>
        <v>0</v>
      </c>
    </row>
    <row r="56" spans="1:11" x14ac:dyDescent="0.25">
      <c r="A56" s="204"/>
      <c r="B56" s="204"/>
      <c r="C56" s="204"/>
      <c r="D56" s="204"/>
      <c r="E56" s="204"/>
      <c r="F56" s="204"/>
      <c r="H56" s="167"/>
    </row>
    <row r="57" spans="1:11" x14ac:dyDescent="0.25">
      <c r="A57" s="12" t="s">
        <v>235</v>
      </c>
    </row>
    <row r="58" spans="1:11" x14ac:dyDescent="0.25">
      <c r="A58" s="11" t="s">
        <v>67</v>
      </c>
      <c r="D58" s="11"/>
      <c r="E58" s="11" t="s">
        <v>73</v>
      </c>
    </row>
    <row r="59" spans="1:11" x14ac:dyDescent="0.25">
      <c r="A59" s="11" t="s">
        <v>68</v>
      </c>
      <c r="D59" s="11"/>
      <c r="E59" s="11" t="s">
        <v>619</v>
      </c>
    </row>
    <row r="60" spans="1:11" x14ac:dyDescent="0.25">
      <c r="A60" s="11" t="s">
        <v>69</v>
      </c>
      <c r="D60" s="11"/>
      <c r="E60" s="11" t="s">
        <v>74</v>
      </c>
    </row>
    <row r="61" spans="1:11" x14ac:dyDescent="0.25">
      <c r="A61" s="11" t="s">
        <v>31</v>
      </c>
      <c r="E61" s="11" t="s">
        <v>75</v>
      </c>
    </row>
    <row r="62" spans="1:11" x14ac:dyDescent="0.25">
      <c r="A62" s="11" t="s">
        <v>32</v>
      </c>
      <c r="E62" s="11" t="s">
        <v>76</v>
      </c>
    </row>
    <row r="63" spans="1:11" x14ac:dyDescent="0.25">
      <c r="A63" s="11" t="s">
        <v>70</v>
      </c>
      <c r="E63" s="11" t="s">
        <v>33</v>
      </c>
    </row>
    <row r="64" spans="1:11" x14ac:dyDescent="0.25">
      <c r="A64" s="11" t="s">
        <v>697</v>
      </c>
      <c r="E64" s="11" t="s">
        <v>34</v>
      </c>
    </row>
    <row r="65" spans="1:5" x14ac:dyDescent="0.25">
      <c r="A65" s="11" t="s">
        <v>71</v>
      </c>
      <c r="E65" s="11" t="s">
        <v>43</v>
      </c>
    </row>
    <row r="66" spans="1:5" x14ac:dyDescent="0.25">
      <c r="A66" s="11" t="s">
        <v>72</v>
      </c>
    </row>
  </sheetData>
  <phoneticPr fontId="5" type="noConversion"/>
  <printOptions horizontalCentered="1"/>
  <pageMargins left="0.75" right="0.75" top="1" bottom="1" header="0.5" footer="0.5"/>
  <pageSetup scale="65" orientation="landscape" r:id="rId1"/>
  <headerFooter alignWithMargins="0">
    <oddFooter>&amp;L&amp;F</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pageSetUpPr fitToPage="1"/>
  </sheetPr>
  <dimension ref="A1:K31"/>
  <sheetViews>
    <sheetView zoomScale="70" workbookViewId="0"/>
  </sheetViews>
  <sheetFormatPr defaultRowHeight="12.5" x14ac:dyDescent="0.25"/>
  <cols>
    <col min="1" max="1" width="50" customWidth="1"/>
    <col min="2" max="2" width="11.6328125" customWidth="1"/>
    <col min="3" max="3" width="3.453125" customWidth="1"/>
    <col min="4" max="4" width="11.6328125" customWidth="1"/>
    <col min="5" max="5" width="3.453125" customWidth="1"/>
    <col min="6" max="6" width="11.6328125" customWidth="1"/>
    <col min="7" max="7" width="3.453125" customWidth="1"/>
    <col min="8" max="8" width="11.6328125" customWidth="1"/>
    <col min="9" max="9" width="3.453125" customWidth="1"/>
    <col min="10" max="10" width="11.6328125" customWidth="1"/>
  </cols>
  <sheetData>
    <row r="1" spans="1:10" s="12" customFormat="1" ht="15.5" x14ac:dyDescent="0.35">
      <c r="A1" s="117" t="s">
        <v>553</v>
      </c>
      <c r="B1" s="16"/>
      <c r="C1" s="16"/>
      <c r="D1" s="16"/>
      <c r="E1" s="16"/>
      <c r="F1" s="16"/>
      <c r="G1" s="16"/>
      <c r="H1" s="16"/>
      <c r="I1" s="16"/>
      <c r="J1" s="16"/>
    </row>
    <row r="2" spans="1:10" s="12" customFormat="1" ht="15.5" x14ac:dyDescent="0.35">
      <c r="A2" s="117" t="s">
        <v>787</v>
      </c>
      <c r="B2" s="16"/>
      <c r="C2" s="16"/>
      <c r="D2" s="16"/>
      <c r="E2" s="16"/>
      <c r="F2" s="16"/>
      <c r="G2" s="16"/>
      <c r="H2" s="16"/>
      <c r="I2" s="16"/>
      <c r="J2" s="16"/>
    </row>
    <row r="3" spans="1:10" ht="25" x14ac:dyDescent="0.25">
      <c r="B3" s="125" t="s">
        <v>109</v>
      </c>
      <c r="C3" s="125"/>
      <c r="D3" s="126" t="s">
        <v>104</v>
      </c>
      <c r="E3" s="126"/>
      <c r="F3" s="125" t="s">
        <v>110</v>
      </c>
      <c r="G3" s="125"/>
      <c r="H3" s="127" t="s">
        <v>97</v>
      </c>
      <c r="I3" s="127"/>
      <c r="J3" s="128" t="s">
        <v>105</v>
      </c>
    </row>
    <row r="4" spans="1:10" ht="13" x14ac:dyDescent="0.3">
      <c r="A4" s="14" t="s">
        <v>80</v>
      </c>
      <c r="F4" s="81"/>
      <c r="H4" s="104"/>
    </row>
    <row r="5" spans="1:10" x14ac:dyDescent="0.25">
      <c r="A5" s="258" t="s">
        <v>307</v>
      </c>
      <c r="B5" s="6">
        <f>'Table 3.15-Route UAA NoPARS'!D111+'Table 3.16-Route UAA PARS'!D111</f>
        <v>1611724.6686190974</v>
      </c>
      <c r="C5" s="11" t="s">
        <v>240</v>
      </c>
      <c r="D5" s="61">
        <f>F5/B5</f>
        <v>3.4935637612705475E-2</v>
      </c>
      <c r="F5" s="108">
        <f>'Table 3.15-Route UAA NoPARS'!J111+'Table 3.16-Route UAA PARS'!J111</f>
        <v>56306.628954334607</v>
      </c>
      <c r="G5" s="11" t="s">
        <v>240</v>
      </c>
      <c r="H5" s="104">
        <f>B5/$B$20</f>
        <v>0.95855666625394997</v>
      </c>
      <c r="J5" s="19">
        <f>D5*H5</f>
        <v>3.3487788323491065E-2</v>
      </c>
    </row>
    <row r="6" spans="1:10" x14ac:dyDescent="0.25">
      <c r="A6" s="60" t="s">
        <v>487</v>
      </c>
      <c r="B6" s="6">
        <f>SUM('Table 3.18-Nixie UAA'!D20,'Table 3.18-Nixie UAA'!D29)</f>
        <v>1611724.6686190977</v>
      </c>
      <c r="C6" s="11" t="s">
        <v>241</v>
      </c>
      <c r="D6" s="61">
        <f>F6/B6</f>
        <v>2.1845957830692174E-2</v>
      </c>
      <c r="F6" s="108">
        <f>SUM('Table 3.18-Nixie UAA'!I20,'Table 3.18-Nixie UAA'!I29)</f>
        <v>35209.669145339125</v>
      </c>
      <c r="G6" s="11" t="s">
        <v>241</v>
      </c>
      <c r="H6" s="104">
        <f>B6/$B$20</f>
        <v>0.95855666625395008</v>
      </c>
      <c r="J6" s="19">
        <f>D6*H6</f>
        <v>2.0940588509312665E-2</v>
      </c>
    </row>
    <row r="7" spans="1:10" x14ac:dyDescent="0.25">
      <c r="A7" s="60" t="s">
        <v>102</v>
      </c>
      <c r="B7" s="6">
        <f>B5</f>
        <v>1611724.6686190974</v>
      </c>
      <c r="D7" s="61">
        <f>F7/B7</f>
        <v>5.6781595443397649E-2</v>
      </c>
      <c r="F7" s="81">
        <f>SUM(F5:F6)</f>
        <v>91516.298099673731</v>
      </c>
      <c r="H7" s="104"/>
      <c r="J7" s="19">
        <f>SUM(J5:J6)</f>
        <v>5.4428376832803729E-2</v>
      </c>
    </row>
    <row r="8" spans="1:10" ht="5.15" customHeight="1" x14ac:dyDescent="0.25">
      <c r="E8" s="205"/>
      <c r="F8" s="108"/>
      <c r="H8" s="104"/>
      <c r="J8" s="61"/>
    </row>
    <row r="9" spans="1:10" ht="13" x14ac:dyDescent="0.3">
      <c r="A9" s="14" t="s">
        <v>81</v>
      </c>
      <c r="E9" s="205"/>
      <c r="F9" s="108"/>
      <c r="H9" s="104"/>
      <c r="J9" s="61"/>
    </row>
    <row r="10" spans="1:10" x14ac:dyDescent="0.25">
      <c r="A10" s="258" t="s">
        <v>307</v>
      </c>
      <c r="B10" s="6">
        <f>'Table 3.15-Route UAA NoPARS'!D108</f>
        <v>40144.908376171777</v>
      </c>
      <c r="C10" s="11" t="s">
        <v>242</v>
      </c>
      <c r="D10" s="61">
        <f>F10/B10</f>
        <v>0.10130290565229555</v>
      </c>
      <c r="E10" s="205"/>
      <c r="F10" s="108">
        <f>'Table 3.15-Route UAA NoPARS'!J108</f>
        <v>4066.7958656513788</v>
      </c>
      <c r="G10" s="11" t="s">
        <v>242</v>
      </c>
      <c r="H10" s="104">
        <f>B10/$B$20</f>
        <v>2.3875771271220661E-2</v>
      </c>
      <c r="J10" s="19">
        <f>D10*H10</f>
        <v>2.4186850044642552E-3</v>
      </c>
    </row>
    <row r="11" spans="1:10" x14ac:dyDescent="0.25">
      <c r="A11" s="60" t="s">
        <v>96</v>
      </c>
      <c r="B11" s="6">
        <f>'Table 3.20-CFS Non-CIOSS'!B19</f>
        <v>40144.908376171777</v>
      </c>
      <c r="C11" s="11" t="s">
        <v>243</v>
      </c>
      <c r="D11" s="61">
        <f>F11/B11</f>
        <v>0.31369060299387674</v>
      </c>
      <c r="F11" s="108">
        <f>'Table 3.20-CFS Non-CIOSS'!H19</f>
        <v>12593.080515655258</v>
      </c>
      <c r="G11" s="11" t="s">
        <v>243</v>
      </c>
      <c r="H11" s="104">
        <f>B11/$B$20</f>
        <v>2.3875771271220661E-2</v>
      </c>
      <c r="J11" s="19">
        <f>D11*H11</f>
        <v>7.4896050870130884E-3</v>
      </c>
    </row>
    <row r="12" spans="1:10" x14ac:dyDescent="0.25">
      <c r="A12" s="60" t="s">
        <v>102</v>
      </c>
      <c r="B12" s="6">
        <f>B10</f>
        <v>40144.908376171777</v>
      </c>
      <c r="D12" s="61">
        <f>F12/B12</f>
        <v>0.41499350864617229</v>
      </c>
      <c r="F12" s="81">
        <f>SUM(F10:F11)</f>
        <v>16659.876381306636</v>
      </c>
      <c r="H12" s="104"/>
      <c r="J12" s="19">
        <f>SUM(J10:J11)</f>
        <v>9.9082900914773432E-3</v>
      </c>
    </row>
    <row r="13" spans="1:10" ht="5.15" customHeight="1" x14ac:dyDescent="0.25">
      <c r="A13" s="60"/>
      <c r="F13" s="81"/>
      <c r="H13" s="104"/>
    </row>
    <row r="14" spans="1:10" ht="13" x14ac:dyDescent="0.3">
      <c r="A14" s="14" t="s">
        <v>82</v>
      </c>
      <c r="F14" s="81"/>
      <c r="H14" s="104"/>
    </row>
    <row r="15" spans="1:10" x14ac:dyDescent="0.25">
      <c r="A15" s="258" t="s">
        <v>307</v>
      </c>
      <c r="B15" s="6">
        <f>'Table 3.15-Route UAA NoPARS'!D101</f>
        <v>29538.236814774398</v>
      </c>
      <c r="C15" s="11" t="s">
        <v>242</v>
      </c>
      <c r="D15" s="61">
        <f>F15/B15</f>
        <v>0.14158399254191056</v>
      </c>
      <c r="F15" s="108">
        <f>'Table 3.15-Route UAA NoPARS'!J101</f>
        <v>4182.1415008842068</v>
      </c>
      <c r="G15" s="11" t="s">
        <v>242</v>
      </c>
      <c r="H15" s="104">
        <f>B15/$B$20</f>
        <v>1.7567562474829483E-2</v>
      </c>
      <c r="J15" s="19">
        <f>D15*H15</f>
        <v>2.4872856344158056E-3</v>
      </c>
    </row>
    <row r="16" spans="1:10" x14ac:dyDescent="0.25">
      <c r="A16" s="258" t="s">
        <v>309</v>
      </c>
      <c r="B16" s="6">
        <v>0</v>
      </c>
      <c r="C16" s="11" t="s">
        <v>241</v>
      </c>
      <c r="D16" s="61">
        <v>0</v>
      </c>
      <c r="F16" s="108">
        <v>0</v>
      </c>
      <c r="G16" s="11" t="s">
        <v>241</v>
      </c>
      <c r="H16" s="104">
        <f>B16/$B$20</f>
        <v>0</v>
      </c>
      <c r="J16" s="19">
        <f>D16*H16</f>
        <v>0</v>
      </c>
    </row>
    <row r="17" spans="1:11" x14ac:dyDescent="0.25">
      <c r="A17" s="60" t="s">
        <v>96</v>
      </c>
      <c r="B17" s="6">
        <f>'Table 3.20-CFS Non-CIOSS'!B76</f>
        <v>29538.236814774395</v>
      </c>
      <c r="C17" s="11" t="s">
        <v>243</v>
      </c>
      <c r="D17" s="61">
        <f>F17/B17</f>
        <v>2.5265756927347185E-2</v>
      </c>
      <c r="F17" s="108">
        <f>'Table 3.20-CFS Non-CIOSS'!H76</f>
        <v>746.30591142450783</v>
      </c>
      <c r="G17" s="11" t="s">
        <v>243</v>
      </c>
      <c r="H17" s="104">
        <f>B17/$B$20</f>
        <v>1.756756247482948E-2</v>
      </c>
      <c r="J17" s="19">
        <f>D17*H17</f>
        <v>4.4385776329502737E-4</v>
      </c>
    </row>
    <row r="18" spans="1:11" x14ac:dyDescent="0.25">
      <c r="A18" s="60" t="s">
        <v>102</v>
      </c>
      <c r="B18" s="6">
        <f>B15</f>
        <v>29538.236814774398</v>
      </c>
      <c r="D18" s="61">
        <f>F18/B18</f>
        <v>0.16684974946925776</v>
      </c>
      <c r="F18" s="81">
        <f>SUM(F15:F17)</f>
        <v>4928.4474123087148</v>
      </c>
      <c r="H18" s="104"/>
      <c r="J18" s="19">
        <f>SUM(J15:J17)</f>
        <v>2.9311433977108328E-3</v>
      </c>
    </row>
    <row r="19" spans="1:11" ht="5.15" customHeight="1" x14ac:dyDescent="0.25">
      <c r="A19" s="250"/>
      <c r="B19" s="6"/>
      <c r="C19" s="11"/>
      <c r="F19" s="81"/>
      <c r="H19" s="104"/>
    </row>
    <row r="20" spans="1:11" ht="13" x14ac:dyDescent="0.3">
      <c r="A20" s="14" t="s">
        <v>494</v>
      </c>
      <c r="B20" s="260">
        <f>SUM(B7,B12,B18)</f>
        <v>1681407.8138100435</v>
      </c>
      <c r="D20" s="61"/>
      <c r="F20" s="370">
        <f>SUM(F7,F12,F18)</f>
        <v>113104.62189328908</v>
      </c>
      <c r="H20" s="104"/>
      <c r="J20" s="259">
        <f>SUM(J7,J12,J18)</f>
        <v>6.7267810321991903E-2</v>
      </c>
    </row>
    <row r="21" spans="1:11" ht="13" hidden="1" x14ac:dyDescent="0.3">
      <c r="A21" s="5"/>
      <c r="B21" s="167"/>
      <c r="F21" s="262"/>
      <c r="H21" s="6"/>
      <c r="J21" s="6"/>
    </row>
    <row r="22" spans="1:11" hidden="1" x14ac:dyDescent="0.25">
      <c r="A22" s="20" t="s">
        <v>191</v>
      </c>
      <c r="B22" s="167"/>
      <c r="G22" s="365" t="s">
        <v>311</v>
      </c>
      <c r="H22" s="6">
        <f>SUM('Table 3.15-Route UAA NoPARS'!J101,'Table 3.15-Route UAA NoPARS'!J108,'Table 3.15-Route UAA NoPARS'!J111)+'Table 3.16-Route UAA PARS'!J111</f>
        <v>64555.566320870195</v>
      </c>
      <c r="J22" s="6">
        <f>SUM(F5,F10,F15)</f>
        <v>64555.566320870195</v>
      </c>
      <c r="K22" s="105">
        <f>H22-J22</f>
        <v>0</v>
      </c>
    </row>
    <row r="23" spans="1:11" ht="13" hidden="1" x14ac:dyDescent="0.3">
      <c r="A23" s="5"/>
      <c r="B23" s="167"/>
      <c r="G23" s="36" t="s">
        <v>312</v>
      </c>
      <c r="H23" s="6">
        <f>SUM('Table 3.18-Nixie UAA'!I20,'Table 3.18-Nixie UAA'!I29)</f>
        <v>35209.669145339125</v>
      </c>
      <c r="J23" s="6">
        <f>SUM(F6,F16)</f>
        <v>35209.669145339125</v>
      </c>
      <c r="K23" s="105">
        <f>H23-J23</f>
        <v>0</v>
      </c>
    </row>
    <row r="24" spans="1:11" ht="13" hidden="1" x14ac:dyDescent="0.3">
      <c r="A24" s="5"/>
      <c r="B24" s="167"/>
      <c r="G24" s="36" t="s">
        <v>313</v>
      </c>
      <c r="H24" s="6">
        <f>SUM('Table 3.20-CFS Non-CIOSS'!H19,'Table 3.20-CFS Non-CIOSS'!H76)</f>
        <v>13339.386427079766</v>
      </c>
      <c r="J24" s="6">
        <f>SUM(F11,F17)</f>
        <v>13339.386427079766</v>
      </c>
      <c r="K24" s="105">
        <f>H24-J24</f>
        <v>0</v>
      </c>
    </row>
    <row r="25" spans="1:11" ht="13" hidden="1" x14ac:dyDescent="0.3">
      <c r="A25" s="5"/>
      <c r="B25" s="167"/>
      <c r="G25" s="36" t="s">
        <v>314</v>
      </c>
      <c r="H25" s="6">
        <f>SUM(H22:H24)</f>
        <v>113104.62189328909</v>
      </c>
      <c r="J25" s="6">
        <f>SUM(J22:J24)</f>
        <v>113104.62189328909</v>
      </c>
      <c r="K25" s="105">
        <f>H25-J25</f>
        <v>0</v>
      </c>
    </row>
    <row r="26" spans="1:11" x14ac:dyDescent="0.25">
      <c r="A26" s="204"/>
      <c r="B26" s="204"/>
      <c r="C26" s="204"/>
      <c r="D26" s="204"/>
      <c r="E26" s="204"/>
      <c r="F26" s="204"/>
      <c r="H26" s="167"/>
    </row>
    <row r="27" spans="1:11" x14ac:dyDescent="0.25">
      <c r="A27" s="12" t="s">
        <v>235</v>
      </c>
    </row>
    <row r="28" spans="1:11" x14ac:dyDescent="0.25">
      <c r="A28" s="11" t="s">
        <v>83</v>
      </c>
      <c r="D28" s="11"/>
      <c r="E28" s="11" t="s">
        <v>600</v>
      </c>
    </row>
    <row r="29" spans="1:11" x14ac:dyDescent="0.25">
      <c r="A29" s="11" t="s">
        <v>84</v>
      </c>
      <c r="D29" s="11"/>
      <c r="E29" s="11" t="s">
        <v>86</v>
      </c>
    </row>
    <row r="30" spans="1:11" x14ac:dyDescent="0.25">
      <c r="A30" s="11" t="s">
        <v>35</v>
      </c>
      <c r="D30" s="11"/>
      <c r="E30" s="11" t="s">
        <v>601</v>
      </c>
    </row>
    <row r="31" spans="1:11" x14ac:dyDescent="0.25">
      <c r="A31" s="11" t="s">
        <v>85</v>
      </c>
    </row>
  </sheetData>
  <phoneticPr fontId="5" type="noConversion"/>
  <printOptions horizontalCentered="1"/>
  <pageMargins left="0.75" right="0.75" top="1" bottom="1" header="0.5" footer="0.5"/>
  <pageSetup orientation="landscape" r:id="rId1"/>
  <headerFooter alignWithMargins="0">
    <oddFooter>&amp;L&amp;F</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4"/>
  <dimension ref="A1:T86"/>
  <sheetViews>
    <sheetView zoomScale="70" zoomScaleNormal="70" workbookViewId="0"/>
  </sheetViews>
  <sheetFormatPr defaultColWidth="9.08984375" defaultRowHeight="12.5" x14ac:dyDescent="0.25"/>
  <cols>
    <col min="1" max="1" width="42.453125" style="4" customWidth="1"/>
    <col min="2" max="2" width="8.90625" style="28" customWidth="1"/>
    <col min="3" max="3" width="3.453125" style="28" customWidth="1"/>
    <col min="4" max="4" width="10.6328125" style="4" customWidth="1"/>
    <col min="5" max="5" width="3.453125" style="4" customWidth="1"/>
    <col min="6" max="6" width="9.90625" style="4" customWidth="1"/>
    <col min="7" max="7" width="3.453125" style="4" customWidth="1"/>
    <col min="8" max="8" width="10.6328125" style="4" customWidth="1"/>
    <col min="9" max="9" width="3.453125" style="4" customWidth="1"/>
    <col min="10" max="10" width="10.6328125" style="4" customWidth="1"/>
    <col min="11" max="11" width="3.453125" style="4" customWidth="1"/>
    <col min="12" max="12" width="11.6328125" style="4" customWidth="1"/>
    <col min="13" max="13" width="3.453125" style="4" customWidth="1"/>
    <col min="14" max="14" width="8.6328125" style="4" customWidth="1"/>
    <col min="15" max="15" width="3.453125" style="4" customWidth="1"/>
    <col min="16" max="16" width="14.54296875" style="4" customWidth="1"/>
    <col min="17" max="17" width="10.54296875" style="4" bestFit="1" customWidth="1"/>
    <col min="18" max="18" width="12" style="4" customWidth="1"/>
    <col min="19" max="16384" width="9.08984375" style="4"/>
  </cols>
  <sheetData>
    <row r="1" spans="1:18" ht="15.5" x14ac:dyDescent="0.35">
      <c r="A1" s="117" t="s">
        <v>554</v>
      </c>
    </row>
    <row r="2" spans="1:18" ht="15.5" x14ac:dyDescent="0.35">
      <c r="A2" s="117" t="s">
        <v>787</v>
      </c>
    </row>
    <row r="3" spans="1:18" ht="5.15" customHeight="1" x14ac:dyDescent="0.35">
      <c r="A3" s="346"/>
    </row>
    <row r="4" spans="1:18" ht="15.5" x14ac:dyDescent="0.35">
      <c r="A4" s="117" t="s">
        <v>746</v>
      </c>
      <c r="B4" s="35"/>
      <c r="C4" s="35"/>
    </row>
    <row r="5" spans="1:18" ht="25.5" x14ac:dyDescent="0.3">
      <c r="A5" s="14" t="s">
        <v>339</v>
      </c>
      <c r="B5" s="132" t="s">
        <v>209</v>
      </c>
      <c r="C5" s="132"/>
      <c r="D5" s="119" t="s">
        <v>245</v>
      </c>
      <c r="E5" s="119"/>
      <c r="F5" s="132" t="s">
        <v>208</v>
      </c>
      <c r="G5" s="132"/>
      <c r="H5" s="132" t="s">
        <v>109</v>
      </c>
      <c r="I5" s="132"/>
      <c r="J5" s="133" t="s">
        <v>97</v>
      </c>
      <c r="K5" s="133"/>
      <c r="L5" s="119" t="s">
        <v>140</v>
      </c>
      <c r="M5" s="20"/>
      <c r="N5" s="207" t="s">
        <v>139</v>
      </c>
      <c r="O5" s="133"/>
      <c r="P5" s="119" t="s">
        <v>221</v>
      </c>
    </row>
    <row r="6" spans="1:18" x14ac:dyDescent="0.25">
      <c r="A6" s="66" t="s">
        <v>747</v>
      </c>
      <c r="B6" s="63">
        <v>0</v>
      </c>
      <c r="C6" s="206" t="s">
        <v>238</v>
      </c>
      <c r="D6" s="39">
        <v>2.5345894967037381</v>
      </c>
      <c r="E6" s="39"/>
      <c r="F6" s="63">
        <f>B6*D6</f>
        <v>0</v>
      </c>
      <c r="G6" s="63"/>
      <c r="H6" s="24">
        <f>'Table 3.38-Form 3547 Dist'!H8</f>
        <v>27264.37077338362</v>
      </c>
      <c r="I6" s="208" t="s">
        <v>241</v>
      </c>
      <c r="J6" s="40">
        <f>H6/$H$6</f>
        <v>1</v>
      </c>
      <c r="K6" s="40"/>
      <c r="L6" s="63">
        <f>J6*F6</f>
        <v>0</v>
      </c>
      <c r="M6" s="20"/>
      <c r="N6" s="20"/>
      <c r="O6" s="20"/>
      <c r="P6" s="20"/>
    </row>
    <row r="7" spans="1:18" x14ac:dyDescent="0.25">
      <c r="A7" s="18" t="s">
        <v>142</v>
      </c>
      <c r="B7" s="63">
        <f>'Table 3.40-Form Processing'!B5</f>
        <v>5.169283758753955E-2</v>
      </c>
      <c r="C7" s="206" t="s">
        <v>239</v>
      </c>
      <c r="D7" s="39">
        <v>1.7351466784479892</v>
      </c>
      <c r="E7" s="39"/>
      <c r="F7" s="63">
        <f>B7*D7</f>
        <v>8.9694655439570614E-2</v>
      </c>
      <c r="G7" s="63"/>
      <c r="H7" s="24">
        <f>H6</f>
        <v>27264.37077338362</v>
      </c>
      <c r="I7" s="208" t="s">
        <v>242</v>
      </c>
      <c r="J7" s="40">
        <f>H7/$H$6</f>
        <v>1</v>
      </c>
      <c r="K7" s="206"/>
      <c r="L7" s="63">
        <f>J7*F7</f>
        <v>8.9694655439570614E-2</v>
      </c>
      <c r="M7" s="20"/>
      <c r="N7" s="20"/>
      <c r="O7" s="20"/>
      <c r="P7" s="20"/>
      <c r="R7" s="48"/>
    </row>
    <row r="8" spans="1:18" x14ac:dyDescent="0.25">
      <c r="A8" s="18" t="s">
        <v>143</v>
      </c>
      <c r="B8" s="63">
        <v>0.21725860195600044</v>
      </c>
      <c r="C8" s="206" t="s">
        <v>240</v>
      </c>
      <c r="D8" s="39">
        <v>4.0261455179964143</v>
      </c>
      <c r="E8" s="39"/>
      <c r="F8" s="63">
        <f>B8*D8</f>
        <v>0.8747147465113182</v>
      </c>
      <c r="G8" s="63"/>
      <c r="H8" s="24">
        <f>H7</f>
        <v>27264.37077338362</v>
      </c>
      <c r="I8" s="208"/>
      <c r="J8" s="40">
        <f>H8/$H$6</f>
        <v>1</v>
      </c>
      <c r="K8" s="40"/>
      <c r="L8" s="63">
        <f>J8*F8</f>
        <v>0.8747147465113182</v>
      </c>
      <c r="M8" s="20"/>
      <c r="N8" s="20"/>
      <c r="O8" s="20"/>
      <c r="P8" s="20"/>
    </row>
    <row r="9" spans="1:18" x14ac:dyDescent="0.25">
      <c r="A9" s="18" t="s">
        <v>144</v>
      </c>
      <c r="B9" s="63">
        <v>2.414366782483808E-2</v>
      </c>
      <c r="C9" s="206" t="s">
        <v>240</v>
      </c>
      <c r="D9" s="39">
        <v>1.3146614554631439</v>
      </c>
      <c r="E9" s="39"/>
      <c r="F9" s="63">
        <f>B9*D9</f>
        <v>3.174074948282031E-2</v>
      </c>
      <c r="G9" s="63"/>
      <c r="H9" s="24">
        <f>H8</f>
        <v>27264.37077338362</v>
      </c>
      <c r="I9" s="208"/>
      <c r="J9" s="40">
        <f>H9/$H$6</f>
        <v>1</v>
      </c>
      <c r="K9" s="40"/>
      <c r="L9" s="63">
        <f>J9*F9</f>
        <v>3.174074948282031E-2</v>
      </c>
      <c r="M9" s="20"/>
      <c r="N9" s="20"/>
      <c r="O9" s="20"/>
      <c r="P9" s="20"/>
    </row>
    <row r="10" spans="1:18" x14ac:dyDescent="0.25">
      <c r="A10" s="17" t="s">
        <v>146</v>
      </c>
      <c r="B10" s="61"/>
      <c r="C10" s="61"/>
      <c r="D10" s="20"/>
      <c r="E10" s="20"/>
      <c r="F10" s="61"/>
      <c r="G10" s="61"/>
      <c r="H10" s="137"/>
      <c r="I10" s="61"/>
      <c r="J10" s="40"/>
      <c r="K10" s="40"/>
      <c r="L10" s="63">
        <f>SUM(L6:L9)</f>
        <v>0.99615015143370922</v>
      </c>
      <c r="M10" s="20"/>
      <c r="N10" s="56">
        <f>'Table 3.38-Form 3547 Dist'!I8</f>
        <v>0.71335596654961209</v>
      </c>
      <c r="O10" s="208" t="s">
        <v>241</v>
      </c>
      <c r="P10" s="63">
        <f>N10*L10</f>
        <v>0.71060965410453614</v>
      </c>
      <c r="Q10" s="24"/>
    </row>
    <row r="11" spans="1:18" x14ac:dyDescent="0.25">
      <c r="B11" s="63"/>
      <c r="C11" s="63"/>
      <c r="D11" s="20"/>
      <c r="E11" s="20"/>
      <c r="F11" s="63"/>
      <c r="G11" s="63"/>
      <c r="H11" s="64"/>
      <c r="I11" s="63"/>
      <c r="J11" s="20"/>
      <c r="K11" s="20"/>
      <c r="L11" s="20"/>
      <c r="M11" s="20"/>
      <c r="N11" s="56"/>
      <c r="O11" s="56"/>
      <c r="P11" s="20"/>
    </row>
    <row r="12" spans="1:18" ht="13" x14ac:dyDescent="0.3">
      <c r="A12" s="14" t="s">
        <v>340</v>
      </c>
      <c r="B12" s="63"/>
      <c r="C12" s="63"/>
      <c r="D12" s="20"/>
      <c r="E12" s="20"/>
      <c r="F12" s="63"/>
      <c r="G12" s="63"/>
      <c r="H12" s="64"/>
      <c r="I12" s="63"/>
      <c r="J12" s="20"/>
      <c r="K12" s="20"/>
      <c r="L12" s="20"/>
      <c r="M12" s="20"/>
      <c r="N12" s="20"/>
      <c r="O12" s="20"/>
      <c r="P12" s="20"/>
    </row>
    <row r="13" spans="1:18" x14ac:dyDescent="0.25">
      <c r="A13" s="66" t="s">
        <v>747</v>
      </c>
      <c r="B13" s="63">
        <v>0</v>
      </c>
      <c r="C13" s="206" t="s">
        <v>238</v>
      </c>
      <c r="D13" s="39">
        <v>2.5345894967037381</v>
      </c>
      <c r="E13" s="39"/>
      <c r="F13" s="63">
        <f>B13*D13</f>
        <v>0</v>
      </c>
      <c r="G13" s="63"/>
      <c r="H13" s="24">
        <f>'Table 3.38-Form 3547 Dist'!H9</f>
        <v>2141.1572484815738</v>
      </c>
      <c r="I13" s="208" t="s">
        <v>241</v>
      </c>
      <c r="J13" s="40">
        <f>H13/$H$13</f>
        <v>1</v>
      </c>
      <c r="K13" s="40"/>
      <c r="L13" s="63">
        <f>J13*F13</f>
        <v>0</v>
      </c>
      <c r="M13" s="20"/>
      <c r="N13" s="20"/>
      <c r="O13" s="20"/>
      <c r="P13" s="20"/>
    </row>
    <row r="14" spans="1:18" x14ac:dyDescent="0.25">
      <c r="A14" s="18" t="s">
        <v>142</v>
      </c>
      <c r="B14" s="63">
        <f>'Table 3.40-Form Processing'!B5</f>
        <v>5.169283758753955E-2</v>
      </c>
      <c r="C14" s="206" t="s">
        <v>239</v>
      </c>
      <c r="D14" s="39">
        <v>1.7351466784479892</v>
      </c>
      <c r="E14" s="39"/>
      <c r="F14" s="63">
        <f>B14*D14</f>
        <v>8.9694655439570614E-2</v>
      </c>
      <c r="G14" s="63"/>
      <c r="H14" s="24">
        <f>H13</f>
        <v>2141.1572484815738</v>
      </c>
      <c r="I14" s="208" t="s">
        <v>242</v>
      </c>
      <c r="J14" s="40">
        <f>H14/$H$13</f>
        <v>1</v>
      </c>
      <c r="K14" s="206"/>
      <c r="L14" s="63">
        <f>J14*F14</f>
        <v>8.9694655439570614E-2</v>
      </c>
      <c r="M14" s="20"/>
      <c r="N14" s="20"/>
      <c r="O14" s="20"/>
      <c r="P14" s="20"/>
      <c r="R14" s="48"/>
    </row>
    <row r="15" spans="1:18" ht="12.75" customHeight="1" x14ac:dyDescent="0.25">
      <c r="A15" s="18" t="s">
        <v>143</v>
      </c>
      <c r="B15" s="63">
        <v>0.21725860195600044</v>
      </c>
      <c r="C15" s="206" t="s">
        <v>240</v>
      </c>
      <c r="D15" s="39">
        <v>4.0261455179964143</v>
      </c>
      <c r="E15" s="39"/>
      <c r="F15" s="63">
        <f>B15*D15</f>
        <v>0.8747147465113182</v>
      </c>
      <c r="G15" s="63"/>
      <c r="H15" s="24">
        <f>H14</f>
        <v>2141.1572484815738</v>
      </c>
      <c r="I15" s="208"/>
      <c r="J15" s="40">
        <f>H15/$H$13</f>
        <v>1</v>
      </c>
      <c r="K15" s="40"/>
      <c r="L15" s="63">
        <f>J15*F15</f>
        <v>0.8747147465113182</v>
      </c>
      <c r="M15" s="20"/>
      <c r="N15" s="20"/>
      <c r="O15" s="20"/>
      <c r="P15" s="20"/>
    </row>
    <row r="16" spans="1:18" x14ac:dyDescent="0.25">
      <c r="A16" s="18" t="s">
        <v>144</v>
      </c>
      <c r="B16" s="63">
        <v>2.414366782483808E-2</v>
      </c>
      <c r="C16" s="206" t="s">
        <v>240</v>
      </c>
      <c r="D16" s="39">
        <v>1.3146614554631439</v>
      </c>
      <c r="E16" s="39"/>
      <c r="F16" s="63">
        <f>B16*D16</f>
        <v>3.174074948282031E-2</v>
      </c>
      <c r="G16" s="63"/>
      <c r="H16" s="24">
        <f>H15</f>
        <v>2141.1572484815738</v>
      </c>
      <c r="I16" s="208"/>
      <c r="J16" s="40">
        <f>H16/$H$13</f>
        <v>1</v>
      </c>
      <c r="K16" s="40"/>
      <c r="L16" s="63">
        <f>J16*F16</f>
        <v>3.174074948282031E-2</v>
      </c>
      <c r="M16" s="20"/>
      <c r="N16" s="20"/>
      <c r="O16" s="20"/>
      <c r="P16" s="20"/>
    </row>
    <row r="17" spans="1:18" x14ac:dyDescent="0.25">
      <c r="A17" s="2" t="s">
        <v>145</v>
      </c>
      <c r="B17" s="61"/>
      <c r="C17" s="61"/>
      <c r="D17" s="20"/>
      <c r="E17" s="20"/>
      <c r="F17" s="61"/>
      <c r="G17" s="61"/>
      <c r="H17" s="137"/>
      <c r="I17" s="61"/>
      <c r="J17" s="20"/>
      <c r="K17" s="20"/>
      <c r="L17" s="63">
        <f>SUM(L13:L16)</f>
        <v>0.99615015143370922</v>
      </c>
      <c r="M17" s="20"/>
      <c r="N17" s="56">
        <f>'Table 3.38-Form 3547 Dist'!I9</f>
        <v>5.6022099729379653E-2</v>
      </c>
      <c r="O17" s="208" t="s">
        <v>241</v>
      </c>
      <c r="P17" s="63">
        <f>N17*L17</f>
        <v>5.5806423129055899E-2</v>
      </c>
      <c r="Q17" s="24"/>
    </row>
    <row r="18" spans="1:18" x14ac:dyDescent="0.25">
      <c r="A18" s="2"/>
      <c r="B18" s="61"/>
      <c r="C18" s="61"/>
      <c r="D18" s="20"/>
      <c r="E18" s="20"/>
      <c r="F18" s="61"/>
      <c r="G18" s="61"/>
      <c r="H18" s="137"/>
      <c r="I18" s="61"/>
      <c r="J18" s="20"/>
      <c r="K18" s="20"/>
      <c r="L18" s="63"/>
      <c r="M18" s="20"/>
      <c r="N18" s="56"/>
      <c r="O18" s="208"/>
      <c r="P18" s="63"/>
    </row>
    <row r="19" spans="1:18" ht="13" x14ac:dyDescent="0.3">
      <c r="A19" s="14" t="s">
        <v>341</v>
      </c>
      <c r="B19" s="61"/>
      <c r="C19" s="61"/>
      <c r="D19" s="20"/>
      <c r="E19" s="20"/>
      <c r="F19" s="63">
        <v>0</v>
      </c>
      <c r="G19" s="61"/>
      <c r="H19" s="7">
        <f>'Table 3.38-Form 3547 Dist'!H7</f>
        <v>8814.3398307259704</v>
      </c>
      <c r="I19" s="208" t="s">
        <v>241</v>
      </c>
      <c r="J19" s="40">
        <f>H19/$H$19</f>
        <v>1</v>
      </c>
      <c r="K19" s="20"/>
      <c r="L19" s="63">
        <v>0</v>
      </c>
      <c r="M19" s="20"/>
      <c r="N19" s="56">
        <f>'Table 3.38-Form 3547 Dist'!I7</f>
        <v>0.23062193372100814</v>
      </c>
      <c r="O19" s="208" t="s">
        <v>241</v>
      </c>
      <c r="P19" s="63">
        <f>N19*L19</f>
        <v>0</v>
      </c>
      <c r="Q19" s="64"/>
    </row>
    <row r="20" spans="1:18" x14ac:dyDescent="0.25">
      <c r="A20" s="20"/>
      <c r="B20" s="63"/>
      <c r="C20" s="63"/>
      <c r="D20" s="20"/>
      <c r="E20" s="20"/>
      <c r="F20" s="63"/>
      <c r="G20" s="63"/>
      <c r="H20" s="63"/>
      <c r="I20" s="63"/>
      <c r="J20" s="134"/>
      <c r="K20" s="134"/>
      <c r="L20" s="20"/>
      <c r="M20" s="20"/>
      <c r="N20" s="20"/>
      <c r="O20" s="20"/>
      <c r="P20" s="20"/>
    </row>
    <row r="21" spans="1:18" ht="13" x14ac:dyDescent="0.3">
      <c r="B21" s="63"/>
      <c r="C21" s="63"/>
      <c r="D21" s="20"/>
      <c r="E21" s="20"/>
      <c r="F21" s="63"/>
      <c r="G21" s="63"/>
      <c r="H21" s="63"/>
      <c r="I21" s="63"/>
      <c r="J21" s="20"/>
      <c r="K21" s="20"/>
      <c r="L21" s="20"/>
      <c r="M21" s="20"/>
      <c r="N21" s="20"/>
      <c r="O21" s="97" t="s">
        <v>453</v>
      </c>
      <c r="P21" s="311">
        <f>P17+P10+P19</f>
        <v>0.76641607723359206</v>
      </c>
      <c r="Q21" s="48"/>
      <c r="R21" s="48"/>
    </row>
    <row r="22" spans="1:18" ht="13" x14ac:dyDescent="0.3">
      <c r="A22" s="14"/>
      <c r="B22" s="63"/>
      <c r="C22" s="63"/>
      <c r="D22" s="20"/>
      <c r="E22" s="20"/>
      <c r="F22" s="63"/>
      <c r="G22" s="63"/>
      <c r="H22" s="63"/>
      <c r="I22" s="63"/>
      <c r="J22" s="20"/>
      <c r="K22" s="20"/>
      <c r="L22" s="20"/>
      <c r="M22" s="20"/>
      <c r="N22" s="20"/>
      <c r="O22" s="20"/>
      <c r="P22" s="63"/>
      <c r="Q22" s="48"/>
    </row>
    <row r="23" spans="1:18" ht="15.5" x14ac:dyDescent="0.35">
      <c r="A23" s="117" t="s">
        <v>759</v>
      </c>
      <c r="B23" s="63"/>
      <c r="C23" s="63"/>
      <c r="D23" s="20"/>
      <c r="E23" s="20"/>
      <c r="F23" s="63"/>
      <c r="G23" s="63"/>
      <c r="H23" s="63"/>
      <c r="I23" s="63"/>
      <c r="J23" s="20"/>
      <c r="K23" s="20"/>
      <c r="L23" s="20"/>
      <c r="M23" s="20"/>
      <c r="N23" s="20"/>
      <c r="O23" s="20"/>
      <c r="P23" s="63"/>
      <c r="Q23" s="48"/>
    </row>
    <row r="24" spans="1:18" ht="15.5" x14ac:dyDescent="0.35">
      <c r="A24" s="117" t="s">
        <v>787</v>
      </c>
      <c r="B24" s="63"/>
      <c r="C24" s="63"/>
      <c r="D24" s="20"/>
      <c r="E24" s="20"/>
      <c r="F24" s="63"/>
      <c r="I24" s="63"/>
      <c r="J24" s="20"/>
      <c r="K24" s="20"/>
      <c r="L24" s="20"/>
      <c r="M24" s="20"/>
      <c r="N24" s="20"/>
      <c r="O24" s="20"/>
      <c r="P24" s="63"/>
      <c r="Q24" s="48"/>
    </row>
    <row r="25" spans="1:18" ht="5.15" customHeight="1" x14ac:dyDescent="0.3">
      <c r="A25" s="14"/>
      <c r="B25" s="63"/>
      <c r="C25" s="63"/>
      <c r="D25" s="20"/>
      <c r="E25" s="20"/>
      <c r="F25" s="63"/>
      <c r="G25" s="63"/>
      <c r="H25" s="63"/>
      <c r="I25" s="63"/>
      <c r="J25" s="20"/>
      <c r="K25" s="20"/>
      <c r="L25" s="20"/>
      <c r="M25" s="20"/>
      <c r="N25" s="20"/>
      <c r="O25" s="20"/>
      <c r="P25" s="63"/>
      <c r="Q25" s="48"/>
    </row>
    <row r="26" spans="1:18" ht="15.5" x14ac:dyDescent="0.35">
      <c r="A26" s="117" t="s">
        <v>748</v>
      </c>
      <c r="B26" s="35"/>
      <c r="C26" s="35"/>
      <c r="Q26" s="48"/>
    </row>
    <row r="27" spans="1:18" ht="25.5" x14ac:dyDescent="0.3">
      <c r="A27" s="14" t="s">
        <v>339</v>
      </c>
      <c r="B27" s="132" t="s">
        <v>209</v>
      </c>
      <c r="C27" s="132"/>
      <c r="D27" s="119" t="s">
        <v>245</v>
      </c>
      <c r="E27" s="119"/>
      <c r="F27" s="132" t="s">
        <v>208</v>
      </c>
      <c r="G27" s="132"/>
      <c r="H27" s="132" t="s">
        <v>109</v>
      </c>
      <c r="I27" s="132"/>
      <c r="J27" s="133" t="s">
        <v>97</v>
      </c>
      <c r="K27" s="133"/>
      <c r="L27" s="119" t="s">
        <v>140</v>
      </c>
      <c r="M27" s="20"/>
      <c r="N27" s="207" t="s">
        <v>139</v>
      </c>
      <c r="O27" s="133"/>
      <c r="P27" s="119" t="s">
        <v>221</v>
      </c>
      <c r="Q27" s="48"/>
    </row>
    <row r="28" spans="1:18" x14ac:dyDescent="0.25">
      <c r="A28" s="66" t="s">
        <v>141</v>
      </c>
      <c r="B28" s="63">
        <v>0.10688124597946215</v>
      </c>
      <c r="C28" s="206" t="s">
        <v>243</v>
      </c>
      <c r="D28" s="39">
        <v>1.7351466784479892</v>
      </c>
      <c r="E28" s="39"/>
      <c r="F28" s="63">
        <f>B28*D28</f>
        <v>0.18545463894964626</v>
      </c>
      <c r="G28" s="63"/>
      <c r="H28" s="24">
        <f>'Table 3.38-Form 3547 Dist'!B17</f>
        <v>3691.3577088576944</v>
      </c>
      <c r="I28" s="208" t="s">
        <v>241</v>
      </c>
      <c r="J28" s="40">
        <f>H28/SUM($H$28:$H$29)</f>
        <v>0.91663275255374155</v>
      </c>
      <c r="K28" s="40"/>
      <c r="L28" s="63">
        <f>J28*F28</f>
        <v>0.16999379617427457</v>
      </c>
      <c r="M28" s="20"/>
      <c r="N28" s="20"/>
      <c r="O28" s="20"/>
      <c r="P28" s="20"/>
      <c r="Q28" s="48"/>
      <c r="R28" s="48"/>
    </row>
    <row r="29" spans="1:18" x14ac:dyDescent="0.25">
      <c r="A29" s="18" t="s">
        <v>749</v>
      </c>
      <c r="B29" s="63">
        <v>0.13931556460643077</v>
      </c>
      <c r="C29" s="208" t="s">
        <v>244</v>
      </c>
      <c r="D29" s="39">
        <v>1.5638897968218963</v>
      </c>
      <c r="E29" s="39"/>
      <c r="F29" s="63">
        <f>B29*D29</f>
        <v>0.21787419002647879</v>
      </c>
      <c r="G29" s="63"/>
      <c r="H29" s="24">
        <f>'Table 3.38-Form 3547 Dist'!E17</f>
        <v>335.72696444637563</v>
      </c>
      <c r="I29" s="208" t="s">
        <v>241</v>
      </c>
      <c r="J29" s="40">
        <f>H29/SUM($H$28:$H$29)</f>
        <v>8.3367247446258536E-2</v>
      </c>
      <c r="K29" s="40"/>
      <c r="L29" s="63">
        <f>J29*F29</f>
        <v>1.8163571512090609E-2</v>
      </c>
      <c r="M29" s="20"/>
      <c r="N29" s="20"/>
      <c r="O29" s="20"/>
      <c r="P29" s="20"/>
      <c r="Q29" s="48"/>
      <c r="R29" s="48"/>
    </row>
    <row r="30" spans="1:18" x14ac:dyDescent="0.25">
      <c r="A30" s="66" t="s">
        <v>750</v>
      </c>
      <c r="B30" s="63">
        <f>'Table 3.40-Form Processing'!B4</f>
        <v>7.7979717007660238E-2</v>
      </c>
      <c r="C30" s="206" t="s">
        <v>239</v>
      </c>
      <c r="D30" s="39">
        <v>1.7351466784479892</v>
      </c>
      <c r="E30" s="39"/>
      <c r="F30" s="63">
        <f>B30*D30</f>
        <v>0.13530624695215585</v>
      </c>
      <c r="G30" s="63"/>
      <c r="H30" s="24">
        <f>SUM(H28:H29)/'Table 3.40-Form Processing'!$D$4</f>
        <v>3887.1177781651077</v>
      </c>
      <c r="I30" s="208" t="s">
        <v>582</v>
      </c>
      <c r="J30" s="40">
        <f>'Table 3.40-Form Processing'!D4^-1</f>
        <v>0.96524361753135812</v>
      </c>
      <c r="K30" s="206" t="s">
        <v>239</v>
      </c>
      <c r="L30" s="63">
        <f>J30*F30</f>
        <v>0.13060349128269022</v>
      </c>
      <c r="M30" s="20"/>
      <c r="N30" s="20"/>
      <c r="O30" s="20"/>
      <c r="P30" s="20"/>
      <c r="Q30" s="413"/>
      <c r="R30" s="48"/>
    </row>
    <row r="31" spans="1:18" x14ac:dyDescent="0.25">
      <c r="A31" s="66" t="s">
        <v>751</v>
      </c>
      <c r="B31" s="63">
        <v>0.43643060415664992</v>
      </c>
      <c r="C31" s="206" t="s">
        <v>240</v>
      </c>
      <c r="D31" s="39">
        <v>4.0261455179964143</v>
      </c>
      <c r="E31" s="39"/>
      <c r="F31" s="63">
        <f>B31*D31</f>
        <v>1.7571331208417633</v>
      </c>
      <c r="G31" s="63"/>
      <c r="H31" s="24">
        <f>H30</f>
        <v>3887.1177781651077</v>
      </c>
      <c r="I31" s="208"/>
      <c r="J31" s="40">
        <f>J30</f>
        <v>0.96524361753135812</v>
      </c>
      <c r="K31" s="40"/>
      <c r="L31" s="63">
        <f>J31*F31</f>
        <v>1.6960615300454687</v>
      </c>
      <c r="M31" s="20"/>
      <c r="N31" s="20"/>
      <c r="O31" s="20"/>
      <c r="P31" s="20"/>
      <c r="Q31" s="48"/>
      <c r="R31" s="48"/>
    </row>
    <row r="32" spans="1:18" x14ac:dyDescent="0.25">
      <c r="A32" s="66" t="s">
        <v>752</v>
      </c>
      <c r="B32" s="63">
        <v>2.414366782483808E-2</v>
      </c>
      <c r="C32" s="206" t="s">
        <v>240</v>
      </c>
      <c r="D32" s="39">
        <v>1.3146614554631439</v>
      </c>
      <c r="E32" s="39"/>
      <c r="F32" s="63">
        <f>B32*D32</f>
        <v>3.174074948282031E-2</v>
      </c>
      <c r="G32" s="63"/>
      <c r="H32" s="24">
        <f>H31</f>
        <v>3887.1177781651077</v>
      </c>
      <c r="I32" s="208"/>
      <c r="J32" s="40">
        <f>J31</f>
        <v>0.96524361753135812</v>
      </c>
      <c r="K32" s="40"/>
      <c r="L32" s="63">
        <f>J32*F32</f>
        <v>3.0637555853954061E-2</v>
      </c>
      <c r="M32" s="20"/>
      <c r="N32" s="20"/>
      <c r="O32" s="20"/>
      <c r="P32" s="20"/>
      <c r="Q32" s="48"/>
      <c r="R32" s="48"/>
    </row>
    <row r="33" spans="1:20" x14ac:dyDescent="0.25">
      <c r="A33" s="17" t="s">
        <v>146</v>
      </c>
      <c r="B33" s="61"/>
      <c r="C33" s="61"/>
      <c r="D33" s="20"/>
      <c r="E33" s="20"/>
      <c r="F33" s="61"/>
      <c r="G33" s="61"/>
      <c r="H33" s="61"/>
      <c r="I33" s="61"/>
      <c r="J33" s="40"/>
      <c r="K33" s="40"/>
      <c r="L33" s="63">
        <f>SUM(L28:L32)</f>
        <v>2.0454599448684783</v>
      </c>
      <c r="M33" s="20"/>
      <c r="N33" s="56">
        <f>'Table 3.38-Form 3547 Dist'!I17</f>
        <v>0.55300849431480248</v>
      </c>
      <c r="O33" s="208" t="s">
        <v>241</v>
      </c>
      <c r="P33" s="63">
        <f>N33*L33</f>
        <v>1.1311567242929561</v>
      </c>
      <c r="Q33" s="48"/>
    </row>
    <row r="34" spans="1:20" x14ac:dyDescent="0.25">
      <c r="B34" s="63"/>
      <c r="C34" s="63"/>
      <c r="D34" s="20"/>
      <c r="E34" s="20"/>
      <c r="F34" s="63"/>
      <c r="G34" s="63"/>
      <c r="H34" s="63"/>
      <c r="I34" s="63"/>
      <c r="J34" s="20"/>
      <c r="K34" s="20"/>
      <c r="L34" s="20"/>
      <c r="M34" s="20"/>
      <c r="N34" s="56"/>
      <c r="O34" s="56"/>
      <c r="P34" s="20"/>
      <c r="Q34" s="48"/>
    </row>
    <row r="35" spans="1:20" ht="13" x14ac:dyDescent="0.3">
      <c r="A35" s="14" t="s">
        <v>340</v>
      </c>
      <c r="B35" s="63"/>
      <c r="C35" s="63"/>
      <c r="D35" s="20"/>
      <c r="E35" s="20"/>
      <c r="F35" s="63"/>
      <c r="G35" s="63"/>
      <c r="H35" s="63"/>
      <c r="I35" s="63"/>
      <c r="J35" s="20"/>
      <c r="K35" s="20"/>
      <c r="L35" s="20"/>
      <c r="M35" s="20"/>
      <c r="N35" s="20"/>
      <c r="O35" s="20"/>
      <c r="P35" s="20"/>
      <c r="Q35" s="48"/>
    </row>
    <row r="36" spans="1:20" x14ac:dyDescent="0.25">
      <c r="A36" s="66" t="s">
        <v>141</v>
      </c>
      <c r="B36" s="63">
        <v>0.10688124597946215</v>
      </c>
      <c r="C36" s="206" t="s">
        <v>243</v>
      </c>
      <c r="D36" s="39">
        <v>1.7351466784479892</v>
      </c>
      <c r="E36" s="39"/>
      <c r="F36" s="63">
        <f>B36*D36</f>
        <v>0.18545463894964626</v>
      </c>
      <c r="G36" s="63"/>
      <c r="H36" s="24">
        <f>'Table 3.38-Form 3547 Dist'!B18</f>
        <v>2048.6738640281656</v>
      </c>
      <c r="I36" s="208" t="s">
        <v>241</v>
      </c>
      <c r="J36" s="40">
        <f>H36/SUM($H$36:$H$37)</f>
        <v>0.91663275255374144</v>
      </c>
      <c r="K36" s="40"/>
      <c r="L36" s="63">
        <f>J36*F36</f>
        <v>0.16999379617427454</v>
      </c>
      <c r="M36" s="20"/>
      <c r="N36" s="20"/>
      <c r="O36" s="20"/>
      <c r="P36" s="20"/>
      <c r="Q36" s="48"/>
      <c r="R36" s="48"/>
    </row>
    <row r="37" spans="1:20" x14ac:dyDescent="0.25">
      <c r="A37" s="18" t="s">
        <v>749</v>
      </c>
      <c r="B37" s="63">
        <v>0.13931556460643077</v>
      </c>
      <c r="C37" s="208" t="s">
        <v>244</v>
      </c>
      <c r="D37" s="39">
        <v>1.5638897968218963</v>
      </c>
      <c r="E37" s="39"/>
      <c r="F37" s="63">
        <f>B37*D37</f>
        <v>0.21787419002647879</v>
      </c>
      <c r="G37" s="63"/>
      <c r="H37" s="24">
        <f>'Table 3.38-Form 3547 Dist'!E18</f>
        <v>186.32576730788949</v>
      </c>
      <c r="I37" s="208" t="s">
        <v>241</v>
      </c>
      <c r="J37" s="40">
        <f>H37/SUM($H$36:$H$37)</f>
        <v>8.3367247446258522E-2</v>
      </c>
      <c r="K37" s="40"/>
      <c r="L37" s="63">
        <f>J37*F37</f>
        <v>1.8163571512090606E-2</v>
      </c>
      <c r="M37" s="20"/>
      <c r="N37" s="20"/>
      <c r="O37" s="20"/>
      <c r="P37" s="20"/>
      <c r="Q37" s="48"/>
      <c r="R37" s="48"/>
    </row>
    <row r="38" spans="1:20" x14ac:dyDescent="0.25">
      <c r="A38" s="66" t="s">
        <v>750</v>
      </c>
      <c r="B38" s="63">
        <f>'Table 3.40-Form Processing'!B4</f>
        <v>7.7979717007660238E-2</v>
      </c>
      <c r="C38" s="206" t="s">
        <v>239</v>
      </c>
      <c r="D38" s="39">
        <v>1.7351466784479892</v>
      </c>
      <c r="E38" s="39"/>
      <c r="F38" s="63">
        <f>B38*D38</f>
        <v>0.13530624695215585</v>
      </c>
      <c r="G38" s="63"/>
      <c r="H38" s="24">
        <f>SUM(H36:H37)/'Table 3.40-Form Processing'!$D$4</f>
        <v>2157.3191293320656</v>
      </c>
      <c r="I38" s="208" t="s">
        <v>582</v>
      </c>
      <c r="J38" s="40">
        <f>'Table 3.40-Form Processing'!D4^-1</f>
        <v>0.96524361753135812</v>
      </c>
      <c r="K38" s="206" t="s">
        <v>239</v>
      </c>
      <c r="L38" s="63">
        <f>J38*F38</f>
        <v>0.13060349128269022</v>
      </c>
      <c r="M38" s="20"/>
      <c r="N38" s="20"/>
      <c r="O38" s="20"/>
      <c r="P38" s="20"/>
      <c r="Q38" s="413"/>
      <c r="R38" s="48"/>
    </row>
    <row r="39" spans="1:20" x14ac:dyDescent="0.25">
      <c r="A39" s="66" t="s">
        <v>751</v>
      </c>
      <c r="B39" s="63">
        <v>0.43643060415664992</v>
      </c>
      <c r="C39" s="206" t="s">
        <v>240</v>
      </c>
      <c r="D39" s="39">
        <v>4.0261455179964143</v>
      </c>
      <c r="E39" s="39"/>
      <c r="F39" s="63">
        <f>B39*D39</f>
        <v>1.7571331208417633</v>
      </c>
      <c r="G39" s="63"/>
      <c r="H39" s="24">
        <f>H38</f>
        <v>2157.3191293320656</v>
      </c>
      <c r="I39" s="63"/>
      <c r="J39" s="40">
        <f>J38</f>
        <v>0.96524361753135812</v>
      </c>
      <c r="K39" s="40"/>
      <c r="L39" s="63">
        <f>J39*F39</f>
        <v>1.6960615300454687</v>
      </c>
      <c r="M39" s="20"/>
      <c r="N39" s="20"/>
      <c r="O39" s="20"/>
      <c r="P39" s="20"/>
      <c r="Q39" s="48"/>
      <c r="R39" s="48"/>
    </row>
    <row r="40" spans="1:20" x14ac:dyDescent="0.25">
      <c r="A40" s="66" t="s">
        <v>752</v>
      </c>
      <c r="B40" s="63">
        <v>2.414366782483808E-2</v>
      </c>
      <c r="C40" s="206" t="s">
        <v>240</v>
      </c>
      <c r="D40" s="39">
        <v>1.3146614554631439</v>
      </c>
      <c r="E40" s="39"/>
      <c r="F40" s="63">
        <f>B40*D40</f>
        <v>3.174074948282031E-2</v>
      </c>
      <c r="G40" s="63"/>
      <c r="H40" s="24">
        <f>H39</f>
        <v>2157.3191293320656</v>
      </c>
      <c r="I40" s="63"/>
      <c r="J40" s="40">
        <f>J39</f>
        <v>0.96524361753135812</v>
      </c>
      <c r="K40" s="40"/>
      <c r="L40" s="63">
        <f>J40*F40</f>
        <v>3.0637555853954061E-2</v>
      </c>
      <c r="M40" s="20"/>
      <c r="N40" s="20"/>
      <c r="O40" s="20"/>
      <c r="P40" s="20"/>
      <c r="Q40" s="48"/>
      <c r="R40" s="48"/>
    </row>
    <row r="41" spans="1:20" x14ac:dyDescent="0.25">
      <c r="A41" s="2" t="s">
        <v>145</v>
      </c>
      <c r="B41" s="61"/>
      <c r="C41" s="61"/>
      <c r="D41" s="20"/>
      <c r="E41" s="20"/>
      <c r="F41" s="61"/>
      <c r="G41" s="61"/>
      <c r="H41" s="61"/>
      <c r="I41" s="61"/>
      <c r="J41" s="20"/>
      <c r="K41" s="20"/>
      <c r="L41" s="63">
        <f>SUM(L36:L40)</f>
        <v>2.0454599448684783</v>
      </c>
      <c r="M41" s="20"/>
      <c r="N41" s="56">
        <f>'Table 3.38-Form 3547 Dist'!I18</f>
        <v>0.30691527027297916</v>
      </c>
      <c r="O41" s="208" t="s">
        <v>241</v>
      </c>
      <c r="P41" s="63">
        <f>N41*L41</f>
        <v>0.62778289181186209</v>
      </c>
      <c r="Q41" s="48"/>
    </row>
    <row r="42" spans="1:20" x14ac:dyDescent="0.25">
      <c r="A42" s="2"/>
      <c r="B42" s="61"/>
      <c r="C42" s="61"/>
      <c r="D42" s="20"/>
      <c r="E42" s="20"/>
      <c r="F42" s="61"/>
      <c r="G42" s="61"/>
      <c r="H42" s="61"/>
      <c r="I42" s="61"/>
      <c r="J42" s="20"/>
      <c r="K42" s="20"/>
      <c r="L42" s="63"/>
      <c r="M42" s="20"/>
      <c r="N42" s="56"/>
      <c r="O42" s="208"/>
      <c r="P42" s="63"/>
    </row>
    <row r="43" spans="1:20" ht="13" x14ac:dyDescent="0.3">
      <c r="A43" s="14" t="s">
        <v>341</v>
      </c>
      <c r="B43" s="61"/>
      <c r="C43" s="61"/>
      <c r="D43" s="20"/>
      <c r="E43" s="20"/>
      <c r="F43" s="63">
        <v>0</v>
      </c>
      <c r="G43" s="61"/>
      <c r="H43" s="30">
        <f>'Table 3.38-Form 3547 Dist'!H16</f>
        <v>1020.0546040827384</v>
      </c>
      <c r="I43" s="208" t="s">
        <v>241</v>
      </c>
      <c r="J43" s="40">
        <f>H43/$H$43</f>
        <v>1</v>
      </c>
      <c r="K43" s="20"/>
      <c r="L43" s="63">
        <v>0</v>
      </c>
      <c r="M43" s="20"/>
      <c r="N43" s="56">
        <f>'Table 3.38-Form 3547 Dist'!I16</f>
        <v>0.14007623541221831</v>
      </c>
      <c r="O43" s="208" t="s">
        <v>241</v>
      </c>
      <c r="P43" s="63">
        <f>N43*L43</f>
        <v>0</v>
      </c>
    </row>
    <row r="44" spans="1:20" x14ac:dyDescent="0.25">
      <c r="A44" s="20"/>
      <c r="B44" s="63"/>
      <c r="C44" s="63"/>
      <c r="D44" s="20"/>
      <c r="E44" s="20"/>
      <c r="F44" s="63"/>
      <c r="G44" s="63"/>
      <c r="H44" s="63"/>
      <c r="I44" s="63"/>
      <c r="J44" s="134"/>
      <c r="K44" s="134"/>
      <c r="L44" s="20"/>
      <c r="M44" s="20"/>
      <c r="N44" s="20"/>
      <c r="O44" s="20"/>
      <c r="P44" s="20"/>
    </row>
    <row r="45" spans="1:20" ht="13" x14ac:dyDescent="0.3">
      <c r="B45" s="63"/>
      <c r="C45" s="63"/>
      <c r="D45" s="20"/>
      <c r="E45" s="20"/>
      <c r="F45" s="63"/>
      <c r="G45" s="63"/>
      <c r="H45" s="63"/>
      <c r="I45" s="63"/>
      <c r="J45" s="20"/>
      <c r="K45" s="20"/>
      <c r="L45" s="20"/>
      <c r="M45" s="20"/>
      <c r="N45" s="20"/>
      <c r="O45" s="97" t="s">
        <v>753</v>
      </c>
      <c r="P45" s="311">
        <f>P41+P33+P43</f>
        <v>1.7589396161048181</v>
      </c>
    </row>
    <row r="46" spans="1:20" x14ac:dyDescent="0.25">
      <c r="A46" s="18"/>
      <c r="B46" s="63"/>
      <c r="C46" s="206"/>
      <c r="D46" s="39"/>
      <c r="E46" s="39"/>
      <c r="F46" s="63"/>
      <c r="G46" s="63"/>
      <c r="H46" s="34"/>
      <c r="I46" s="63"/>
      <c r="J46" s="40"/>
      <c r="K46" s="40"/>
      <c r="L46" s="63"/>
      <c r="M46" s="20"/>
      <c r="N46" s="20"/>
      <c r="O46" s="20"/>
      <c r="P46" s="20"/>
    </row>
    <row r="47" spans="1:20" ht="15.5" x14ac:dyDescent="0.35">
      <c r="A47" s="117" t="s">
        <v>87</v>
      </c>
      <c r="B47" s="63"/>
      <c r="C47" s="63"/>
      <c r="D47" s="20"/>
      <c r="E47" s="20"/>
      <c r="F47" s="63"/>
      <c r="G47" s="63"/>
      <c r="H47" s="63"/>
      <c r="I47" s="63"/>
      <c r="J47" s="20"/>
      <c r="K47" s="20"/>
      <c r="L47" s="20"/>
      <c r="M47" s="20"/>
      <c r="N47" s="20"/>
      <c r="O47" s="20"/>
      <c r="P47" s="63"/>
    </row>
    <row r="48" spans="1:20" ht="15.5" x14ac:dyDescent="0.35">
      <c r="A48" s="117" t="s">
        <v>787</v>
      </c>
      <c r="B48" s="63"/>
      <c r="C48" s="63"/>
      <c r="D48" s="20"/>
      <c r="E48" s="20"/>
      <c r="F48" s="63"/>
      <c r="G48" s="63"/>
      <c r="H48" s="63"/>
      <c r="I48" s="63"/>
      <c r="J48" s="20"/>
      <c r="K48" s="20"/>
      <c r="L48" s="20"/>
      <c r="M48" s="20"/>
      <c r="N48" s="20"/>
      <c r="O48" s="20"/>
      <c r="P48" s="63"/>
      <c r="S48" s="63"/>
      <c r="T48" s="63"/>
    </row>
    <row r="49" spans="1:19" ht="5.15" customHeight="1" x14ac:dyDescent="0.3">
      <c r="A49" s="14"/>
      <c r="B49" s="63"/>
      <c r="C49" s="63"/>
      <c r="D49" s="20"/>
      <c r="E49" s="20"/>
      <c r="F49" s="63"/>
      <c r="G49" s="63"/>
      <c r="H49" s="63"/>
      <c r="I49" s="63"/>
      <c r="J49" s="20"/>
      <c r="K49" s="20"/>
      <c r="L49" s="20"/>
      <c r="M49" s="20"/>
      <c r="N49" s="20"/>
      <c r="O49" s="20"/>
      <c r="P49" s="63"/>
    </row>
    <row r="50" spans="1:19" ht="15.5" x14ac:dyDescent="0.35">
      <c r="A50" s="117" t="s">
        <v>456</v>
      </c>
      <c r="B50" s="35"/>
      <c r="C50" s="35"/>
    </row>
    <row r="51" spans="1:19" ht="25.5" x14ac:dyDescent="0.3">
      <c r="A51" s="14" t="s">
        <v>339</v>
      </c>
      <c r="B51" s="132" t="s">
        <v>209</v>
      </c>
      <c r="C51" s="132"/>
      <c r="D51" s="119" t="s">
        <v>245</v>
      </c>
      <c r="E51" s="119"/>
      <c r="F51" s="132" t="s">
        <v>208</v>
      </c>
      <c r="G51" s="132"/>
      <c r="H51" s="132" t="s">
        <v>109</v>
      </c>
      <c r="I51" s="132"/>
      <c r="J51" s="133" t="s">
        <v>97</v>
      </c>
      <c r="K51" s="133"/>
      <c r="L51" s="119" t="s">
        <v>140</v>
      </c>
      <c r="M51" s="20"/>
      <c r="N51" s="207" t="s">
        <v>139</v>
      </c>
      <c r="O51" s="133"/>
      <c r="P51" s="119" t="s">
        <v>221</v>
      </c>
      <c r="S51" s="17"/>
    </row>
    <row r="52" spans="1:19" x14ac:dyDescent="0.25">
      <c r="A52" s="66" t="s">
        <v>754</v>
      </c>
      <c r="B52" s="63">
        <f>(B6*H6+B28*H28)/H52</f>
        <v>1.2745198728078425E-2</v>
      </c>
      <c r="C52" s="206"/>
      <c r="D52" s="39"/>
      <c r="E52" s="39"/>
      <c r="F52" s="63">
        <f>(F6*H6+F28*H28)/H52</f>
        <v>2.2114789239184817E-2</v>
      </c>
      <c r="G52" s="63"/>
      <c r="H52" s="24">
        <f>SUM(H6,H28)</f>
        <v>30955.728482241313</v>
      </c>
      <c r="I52" s="208" t="s">
        <v>241</v>
      </c>
      <c r="J52" s="40">
        <f>H52/SUM($H$52:$H$53)</f>
        <v>0.98927096999312281</v>
      </c>
      <c r="K52" s="40"/>
      <c r="L52" s="63">
        <f>J52*F52</f>
        <v>2.1877519001841837E-2</v>
      </c>
      <c r="M52" s="20"/>
      <c r="N52" s="20"/>
      <c r="O52" s="20"/>
      <c r="P52" s="20"/>
    </row>
    <row r="53" spans="1:19" x14ac:dyDescent="0.25">
      <c r="A53" s="18" t="s">
        <v>749</v>
      </c>
      <c r="B53" s="63">
        <f>B29</f>
        <v>0.13931556460643077</v>
      </c>
      <c r="C53" s="206"/>
      <c r="D53" s="39"/>
      <c r="E53" s="39"/>
      <c r="F53" s="63">
        <f>F29</f>
        <v>0.21787419002647879</v>
      </c>
      <c r="G53" s="63"/>
      <c r="H53" s="24">
        <f>H29</f>
        <v>335.72696444637563</v>
      </c>
      <c r="I53" s="208"/>
      <c r="J53" s="40">
        <f>H53/SUM($H$52:$H$53)</f>
        <v>1.0729030006877279E-2</v>
      </c>
      <c r="K53" s="40"/>
      <c r="L53" s="63">
        <f>J53*F53</f>
        <v>2.3375787225181732E-3</v>
      </c>
      <c r="M53" s="20"/>
      <c r="N53" s="20"/>
      <c r="O53" s="20"/>
      <c r="P53" s="20"/>
    </row>
    <row r="54" spans="1:19" x14ac:dyDescent="0.25">
      <c r="A54" s="66" t="s">
        <v>750</v>
      </c>
      <c r="B54" s="63">
        <f>(B7*H7+B30*H30)/H54</f>
        <v>5.4972943966961792E-2</v>
      </c>
      <c r="C54" s="206"/>
      <c r="D54" s="39"/>
      <c r="E54" s="39"/>
      <c r="F54" s="63">
        <f>(F7*H7+F30*H30)/H54</f>
        <v>9.5386121128781171E-2</v>
      </c>
      <c r="G54" s="63"/>
      <c r="H54" s="24">
        <f>SUM(H7,H30)</f>
        <v>31151.488551548726</v>
      </c>
      <c r="I54" s="208"/>
      <c r="J54" s="40">
        <f>H54/SUM($H$52:$H$53)</f>
        <v>0.99552699313148196</v>
      </c>
      <c r="K54" s="206"/>
      <c r="L54" s="63">
        <f>J54*F54</f>
        <v>9.4959458353810838E-2</v>
      </c>
      <c r="M54" s="20"/>
      <c r="N54" s="20"/>
      <c r="O54" s="20"/>
      <c r="P54" s="20"/>
      <c r="R54" s="48"/>
      <c r="S54" s="206"/>
    </row>
    <row r="55" spans="1:19" x14ac:dyDescent="0.25">
      <c r="A55" s="66" t="s">
        <v>751</v>
      </c>
      <c r="B55" s="63">
        <f>(B8*H8+B31*H31)/H55</f>
        <v>0.24460713089773642</v>
      </c>
      <c r="C55" s="206"/>
      <c r="D55" s="39"/>
      <c r="E55" s="39"/>
      <c r="F55" s="63">
        <f>(F8*H8+F31*H31)/H55</f>
        <v>0.98482390373388373</v>
      </c>
      <c r="G55" s="63"/>
      <c r="H55" s="24">
        <f>SUM(H8,H31)</f>
        <v>31151.488551548726</v>
      </c>
      <c r="I55" s="208"/>
      <c r="J55" s="40">
        <f>H55/SUM($H$52:$H$53)</f>
        <v>0.99552699313148196</v>
      </c>
      <c r="K55" s="40"/>
      <c r="L55" s="63">
        <f>J55*F55</f>
        <v>0.98041877964820134</v>
      </c>
      <c r="M55" s="20"/>
      <c r="N55" s="20"/>
      <c r="O55" s="20"/>
      <c r="P55" s="20"/>
      <c r="R55" s="48"/>
    </row>
    <row r="56" spans="1:19" x14ac:dyDescent="0.25">
      <c r="A56" s="66" t="s">
        <v>752</v>
      </c>
      <c r="B56" s="63">
        <f>(B9*H9+B32*H32)/H56</f>
        <v>2.4143667824838084E-2</v>
      </c>
      <c r="C56" s="206"/>
      <c r="D56" s="39"/>
      <c r="E56" s="39"/>
      <c r="F56" s="63">
        <f>(F9*H9+F32*H32)/H56</f>
        <v>3.174074948282031E-2</v>
      </c>
      <c r="G56" s="63"/>
      <c r="H56" s="24">
        <f>SUM(H9,H32)</f>
        <v>31151.488551548726</v>
      </c>
      <c r="I56" s="208"/>
      <c r="J56" s="40">
        <f>H56/SUM($H$52:$H$53)</f>
        <v>0.99552699313148196</v>
      </c>
      <c r="K56" s="40"/>
      <c r="L56" s="63">
        <f>J56*F56</f>
        <v>3.1598772892371743E-2</v>
      </c>
      <c r="M56" s="20"/>
      <c r="N56" s="20"/>
      <c r="O56" s="20"/>
      <c r="P56" s="20"/>
      <c r="R56" s="48"/>
      <c r="S56" s="17"/>
    </row>
    <row r="57" spans="1:19" x14ac:dyDescent="0.25">
      <c r="A57" s="17" t="s">
        <v>146</v>
      </c>
      <c r="B57" s="61"/>
      <c r="C57" s="61"/>
      <c r="D57" s="20"/>
      <c r="E57" s="20"/>
      <c r="F57" s="61"/>
      <c r="G57" s="61"/>
      <c r="H57" s="61"/>
      <c r="I57" s="61"/>
      <c r="J57" s="40"/>
      <c r="K57" s="40"/>
      <c r="L57" s="63">
        <f>SUM(L52:L56)</f>
        <v>1.1311921086187438</v>
      </c>
      <c r="M57" s="20"/>
      <c r="N57" s="56">
        <f>'Table 3.38-Form 3547 Dist'!I26</f>
        <v>0.68769396503390701</v>
      </c>
      <c r="O57" s="208" t="s">
        <v>241</v>
      </c>
      <c r="P57" s="63">
        <f>N57*L57</f>
        <v>0.77791398639108988</v>
      </c>
    </row>
    <row r="58" spans="1:19" x14ac:dyDescent="0.25">
      <c r="B58" s="63"/>
      <c r="C58" s="63"/>
      <c r="D58" s="20"/>
      <c r="E58" s="20"/>
      <c r="F58" s="63"/>
      <c r="G58" s="63"/>
      <c r="H58" s="63"/>
      <c r="I58" s="63"/>
      <c r="J58" s="40"/>
      <c r="K58" s="20"/>
      <c r="L58" s="20"/>
      <c r="M58" s="20"/>
      <c r="N58" s="56"/>
      <c r="O58" s="56"/>
      <c r="P58" s="20"/>
    </row>
    <row r="59" spans="1:19" ht="13" x14ac:dyDescent="0.3">
      <c r="A59" s="14" t="s">
        <v>340</v>
      </c>
      <c r="B59" s="63"/>
      <c r="C59" s="63"/>
      <c r="D59" s="20"/>
      <c r="E59" s="20"/>
      <c r="F59" s="63"/>
      <c r="G59" s="63"/>
      <c r="H59" s="63"/>
      <c r="I59" s="63"/>
      <c r="J59" s="40"/>
      <c r="K59" s="20"/>
      <c r="L59" s="20"/>
      <c r="M59" s="20"/>
      <c r="N59" s="20"/>
      <c r="O59" s="20"/>
      <c r="P59" s="20"/>
    </row>
    <row r="60" spans="1:19" x14ac:dyDescent="0.25">
      <c r="A60" s="66" t="s">
        <v>754</v>
      </c>
      <c r="B60" s="63">
        <f>(B13*H13+B36*H36)/H60</f>
        <v>5.2261012273052708E-2</v>
      </c>
      <c r="C60" s="206"/>
      <c r="D60" s="39"/>
      <c r="E60" s="39"/>
      <c r="F60" s="63">
        <f>(F13*H13+F36*H36)/H60</f>
        <v>9.0680521857917001E-2</v>
      </c>
      <c r="G60" s="63"/>
      <c r="H60" s="24">
        <f>SUM(H13,H36)</f>
        <v>4189.8311125097389</v>
      </c>
      <c r="I60" s="208" t="s">
        <v>241</v>
      </c>
      <c r="J60" s="40">
        <f>H60/SUM($H$60:$H$61)</f>
        <v>0.95742251193799643</v>
      </c>
      <c r="K60" s="40"/>
      <c r="L60" s="63">
        <f>J60*F60</f>
        <v>8.6819573021055294E-2</v>
      </c>
      <c r="M60" s="20"/>
      <c r="N60" s="20"/>
      <c r="O60" s="20"/>
      <c r="P60" s="20"/>
    </row>
    <row r="61" spans="1:19" x14ac:dyDescent="0.25">
      <c r="A61" s="18" t="s">
        <v>749</v>
      </c>
      <c r="B61" s="63">
        <f>B37</f>
        <v>0.13931556460643077</v>
      </c>
      <c r="C61" s="206"/>
      <c r="D61" s="39"/>
      <c r="E61" s="39"/>
      <c r="F61" s="63">
        <f>F37</f>
        <v>0.21787419002647879</v>
      </c>
      <c r="G61" s="63"/>
      <c r="H61" s="24">
        <f>H37</f>
        <v>186.32576730788949</v>
      </c>
      <c r="I61" s="208"/>
      <c r="J61" s="40">
        <f>H61/SUM($H$60:$H$61)</f>
        <v>4.2577488062003482E-2</v>
      </c>
      <c r="K61" s="40"/>
      <c r="L61" s="63">
        <f>J61*F61</f>
        <v>9.2765357248710788E-3</v>
      </c>
      <c r="M61" s="20"/>
      <c r="N61" s="20"/>
      <c r="O61" s="20"/>
      <c r="P61" s="20"/>
    </row>
    <row r="62" spans="1:19" x14ac:dyDescent="0.25">
      <c r="A62" s="66" t="s">
        <v>750</v>
      </c>
      <c r="B62" s="63">
        <f>(B14*H14+B38*H38)/H62</f>
        <v>6.4885695437398458E-2</v>
      </c>
      <c r="C62" s="206"/>
      <c r="D62" s="39"/>
      <c r="E62" s="39"/>
      <c r="F62" s="63">
        <f>(F14*H14+F38*H38)/H62</f>
        <v>0.11258619891698977</v>
      </c>
      <c r="G62" s="63"/>
      <c r="H62" s="24">
        <f>SUM(H14,H38)</f>
        <v>4298.4763778136394</v>
      </c>
      <c r="I62" s="208"/>
      <c r="J62" s="40">
        <f>H62/SUM($H$60:$H$61)</f>
        <v>0.98224915053611461</v>
      </c>
      <c r="K62" s="206"/>
      <c r="L62" s="63">
        <f>J62*F62</f>
        <v>0.11058769824830324</v>
      </c>
      <c r="M62" s="20"/>
      <c r="N62" s="20"/>
      <c r="O62" s="20"/>
      <c r="P62" s="20"/>
      <c r="R62" s="48"/>
    </row>
    <row r="63" spans="1:19" x14ac:dyDescent="0.25">
      <c r="A63" s="66" t="s">
        <v>751</v>
      </c>
      <c r="B63" s="63">
        <f>(B15*H15+B39*H39)/H63</f>
        <v>0.32725663646932862</v>
      </c>
      <c r="C63" s="206"/>
      <c r="D63" s="39"/>
      <c r="E63" s="39"/>
      <c r="F63" s="63">
        <f>(F15*H15+F39*H39)/H63</f>
        <v>1.3175828401555696</v>
      </c>
      <c r="G63" s="63"/>
      <c r="H63" s="24">
        <f>SUM(H15,H39)</f>
        <v>4298.4763778136394</v>
      </c>
      <c r="I63" s="63"/>
      <c r="J63" s="40">
        <f>H63/SUM($H$60:$H$61)</f>
        <v>0.98224915053611461</v>
      </c>
      <c r="K63" s="40"/>
      <c r="L63" s="63">
        <f>J63*F63</f>
        <v>1.2941946255037695</v>
      </c>
      <c r="M63" s="20"/>
      <c r="N63" s="20"/>
      <c r="O63" s="20"/>
      <c r="P63" s="20"/>
      <c r="R63" s="48"/>
    </row>
    <row r="64" spans="1:19" x14ac:dyDescent="0.25">
      <c r="A64" s="66" t="s">
        <v>752</v>
      </c>
      <c r="B64" s="63">
        <f>(B16*H16+B40*H40)/H64</f>
        <v>2.414366782483808E-2</v>
      </c>
      <c r="C64" s="206"/>
      <c r="D64" s="39"/>
      <c r="E64" s="39"/>
      <c r="F64" s="63">
        <f>(F16*H16+F40*H40)/H64</f>
        <v>3.174074948282031E-2</v>
      </c>
      <c r="G64" s="63"/>
      <c r="H64" s="24">
        <f>SUM(H16,H40)</f>
        <v>4298.4763778136394</v>
      </c>
      <c r="I64" s="63"/>
      <c r="J64" s="40">
        <f>H64/SUM($H$60:$H$61)</f>
        <v>0.98224915053611461</v>
      </c>
      <c r="K64" s="40"/>
      <c r="L64" s="63">
        <f>J64*F64</f>
        <v>3.1177324216879868E-2</v>
      </c>
      <c r="M64" s="20"/>
      <c r="N64" s="20"/>
      <c r="O64" s="20"/>
      <c r="P64" s="20"/>
      <c r="R64" s="48"/>
    </row>
    <row r="65" spans="1:17" x14ac:dyDescent="0.25">
      <c r="A65" s="2" t="s">
        <v>145</v>
      </c>
      <c r="B65" s="61"/>
      <c r="C65" s="61"/>
      <c r="D65" s="20"/>
      <c r="E65" s="20"/>
      <c r="F65" s="61"/>
      <c r="G65" s="61"/>
      <c r="H65" s="61"/>
      <c r="I65" s="61"/>
      <c r="J65" s="20"/>
      <c r="K65" s="20"/>
      <c r="L65" s="63">
        <f>SUM(L60:L64)</f>
        <v>1.5320557567148789</v>
      </c>
      <c r="M65" s="20"/>
      <c r="N65" s="56">
        <f>'Table 3.38-Form 3547 Dist'!I27</f>
        <v>9.6175030318404617E-2</v>
      </c>
      <c r="O65" s="208" t="s">
        <v>241</v>
      </c>
      <c r="P65" s="63">
        <f>N65*L65</f>
        <v>0.1473455088515398</v>
      </c>
    </row>
    <row r="66" spans="1:17" x14ac:dyDescent="0.25">
      <c r="A66" s="2"/>
      <c r="B66" s="61"/>
      <c r="C66" s="61"/>
      <c r="D66" s="20"/>
      <c r="E66" s="20"/>
      <c r="F66" s="61"/>
      <c r="G66" s="61"/>
      <c r="H66" s="61"/>
      <c r="I66" s="61"/>
      <c r="J66" s="20"/>
      <c r="K66" s="20"/>
      <c r="L66" s="63"/>
      <c r="M66" s="20"/>
      <c r="N66" s="56"/>
      <c r="O66" s="208"/>
      <c r="P66" s="63"/>
    </row>
    <row r="67" spans="1:17" ht="13" x14ac:dyDescent="0.3">
      <c r="A67" s="14" t="s">
        <v>341</v>
      </c>
      <c r="B67" s="61"/>
      <c r="C67" s="61"/>
      <c r="D67" s="20"/>
      <c r="E67" s="20"/>
      <c r="F67" s="63">
        <v>0</v>
      </c>
      <c r="G67" s="61"/>
      <c r="H67" s="24">
        <f>SUM(H19,H43)</f>
        <v>9834.394434808708</v>
      </c>
      <c r="I67" s="208"/>
      <c r="J67" s="40"/>
      <c r="K67" s="20"/>
      <c r="L67" s="63">
        <v>0</v>
      </c>
      <c r="M67" s="20"/>
      <c r="N67" s="56">
        <f>'Table 3.38-Form 3547 Dist'!I25</f>
        <v>0.21613100464768834</v>
      </c>
      <c r="O67" s="208" t="s">
        <v>241</v>
      </c>
      <c r="P67" s="63">
        <f>N67*L67</f>
        <v>0</v>
      </c>
    </row>
    <row r="68" spans="1:17" x14ac:dyDescent="0.25">
      <c r="A68" s="20"/>
      <c r="B68" s="63"/>
      <c r="C68" s="63"/>
      <c r="D68" s="20"/>
      <c r="E68" s="20"/>
      <c r="F68" s="63"/>
      <c r="G68" s="63"/>
      <c r="H68" s="63"/>
      <c r="I68" s="63"/>
      <c r="J68" s="134"/>
      <c r="K68" s="134"/>
      <c r="L68" s="20"/>
      <c r="M68" s="20"/>
      <c r="N68" s="20"/>
      <c r="O68" s="20"/>
      <c r="P68" s="20"/>
    </row>
    <row r="69" spans="1:17" ht="13" x14ac:dyDescent="0.3">
      <c r="A69" s="14"/>
      <c r="B69" s="63"/>
      <c r="C69" s="63"/>
      <c r="D69" s="20"/>
      <c r="E69" s="20"/>
      <c r="F69" s="63"/>
      <c r="G69" s="63"/>
      <c r="H69" s="63"/>
      <c r="I69" s="63"/>
      <c r="J69" s="20"/>
      <c r="K69" s="20"/>
      <c r="L69" s="20"/>
      <c r="M69" s="20"/>
      <c r="N69" s="20"/>
      <c r="O69" s="97" t="s">
        <v>454</v>
      </c>
      <c r="P69" s="311">
        <f>P65+P57+P67</f>
        <v>0.92525949524262963</v>
      </c>
    </row>
    <row r="70" spans="1:17" hidden="1" x14ac:dyDescent="0.25">
      <c r="A70" s="18"/>
      <c r="B70" s="63"/>
      <c r="C70" s="206"/>
      <c r="D70" s="39"/>
      <c r="E70" s="39"/>
      <c r="F70" s="63"/>
      <c r="G70" s="63"/>
      <c r="H70" s="34"/>
      <c r="I70" s="63"/>
      <c r="J70" s="40"/>
      <c r="K70" s="40"/>
      <c r="L70" s="63"/>
      <c r="M70" s="20"/>
      <c r="N70" s="20"/>
      <c r="O70" s="20"/>
      <c r="P70" s="20"/>
    </row>
    <row r="71" spans="1:17" ht="13" hidden="1" x14ac:dyDescent="0.3">
      <c r="A71" s="14"/>
      <c r="B71" s="61"/>
      <c r="C71" s="61"/>
      <c r="D71" s="20"/>
      <c r="E71" s="20"/>
      <c r="F71" s="61"/>
      <c r="G71" s="61"/>
      <c r="H71" s="61"/>
      <c r="I71" s="61"/>
      <c r="J71" s="20"/>
      <c r="K71" s="20"/>
      <c r="L71" s="63"/>
      <c r="M71" s="20"/>
      <c r="N71" s="56"/>
      <c r="O71" s="56"/>
      <c r="P71" s="311"/>
    </row>
    <row r="72" spans="1:17" ht="13" hidden="1" x14ac:dyDescent="0.3">
      <c r="A72" s="14"/>
      <c r="B72" s="61"/>
      <c r="C72" s="61"/>
      <c r="D72" s="20"/>
      <c r="E72" s="20"/>
      <c r="F72" s="61"/>
      <c r="G72" s="349" t="s">
        <v>451</v>
      </c>
      <c r="H72" s="312">
        <v>-5.9117155615240335E-12</v>
      </c>
      <c r="I72" s="61"/>
      <c r="J72" s="20"/>
      <c r="K72" s="20"/>
      <c r="L72" s="63"/>
      <c r="M72" s="20"/>
      <c r="N72" s="56" t="s">
        <v>188</v>
      </c>
      <c r="O72" s="56"/>
      <c r="P72" s="312">
        <f>(L10*H6+L17*H13+L19*H19)-P21*SUM(H6,H13,H19)</f>
        <v>0</v>
      </c>
    </row>
    <row r="73" spans="1:17" ht="13" hidden="1" x14ac:dyDescent="0.3">
      <c r="A73" s="14"/>
      <c r="B73" s="61"/>
      <c r="C73" s="61"/>
      <c r="D73" s="20"/>
      <c r="H73" s="312">
        <v>0</v>
      </c>
      <c r="I73" s="61"/>
      <c r="J73" s="20"/>
      <c r="K73" s="20"/>
      <c r="L73" s="63"/>
      <c r="M73" s="20"/>
      <c r="N73" s="56"/>
      <c r="O73" s="56"/>
      <c r="P73" s="312">
        <f>(SUM(H28:H29)*L33+SUM(H36:H37)*L41+H43*L43)-P45*SUM(H28:H29,H36:H37,H43)</f>
        <v>0</v>
      </c>
    </row>
    <row r="74" spans="1:17" ht="13" hidden="1" x14ac:dyDescent="0.3">
      <c r="A74" s="14"/>
      <c r="B74" s="61"/>
      <c r="C74" s="61"/>
      <c r="D74" s="20"/>
      <c r="H74" s="312">
        <v>0</v>
      </c>
      <c r="I74" s="61"/>
      <c r="J74" s="20"/>
      <c r="K74" s="20"/>
      <c r="L74" s="63"/>
      <c r="M74" s="20"/>
      <c r="N74" s="56"/>
      <c r="O74" s="56"/>
      <c r="P74" s="312">
        <f>(SUM(H52:H53)*L57+SUM(H60:H61)*L65+H67*L67)-P69*SUM(H52:H53,H60:H61,H67)</f>
        <v>0</v>
      </c>
      <c r="Q74" s="24"/>
    </row>
    <row r="75" spans="1:17" ht="13" hidden="1" x14ac:dyDescent="0.3">
      <c r="A75" s="14"/>
      <c r="B75" s="61"/>
      <c r="C75" s="61"/>
      <c r="D75" s="20"/>
      <c r="E75" s="20"/>
      <c r="F75" s="61"/>
      <c r="G75" s="61"/>
      <c r="H75" s="312">
        <v>0</v>
      </c>
      <c r="I75" s="61"/>
      <c r="J75" s="20"/>
      <c r="K75" s="20"/>
      <c r="L75" s="63"/>
      <c r="M75" s="20"/>
      <c r="N75" s="56"/>
      <c r="O75" s="56"/>
      <c r="P75" s="312">
        <f>P69-'Table 3.41-Man Notice'!F25</f>
        <v>0</v>
      </c>
    </row>
    <row r="76" spans="1:17" ht="13" hidden="1" x14ac:dyDescent="0.3">
      <c r="A76" s="14"/>
      <c r="B76" s="61"/>
      <c r="C76" s="61"/>
      <c r="D76" s="20"/>
      <c r="E76" s="20"/>
      <c r="F76" s="61"/>
      <c r="G76" s="61"/>
      <c r="H76" s="312">
        <v>0</v>
      </c>
      <c r="I76" s="61"/>
      <c r="J76" s="20"/>
      <c r="K76" s="20"/>
      <c r="L76" s="63"/>
      <c r="M76" s="20"/>
      <c r="N76" s="56"/>
      <c r="O76" s="56"/>
      <c r="P76" s="351"/>
    </row>
    <row r="77" spans="1:17" ht="13" hidden="1" x14ac:dyDescent="0.3">
      <c r="A77" s="14"/>
      <c r="B77" s="61"/>
      <c r="C77" s="61"/>
      <c r="D77" s="20"/>
      <c r="E77" s="20"/>
      <c r="F77" s="61"/>
      <c r="G77" s="349" t="s">
        <v>452</v>
      </c>
      <c r="H77" s="312">
        <v>-5.9117155615240335E-12</v>
      </c>
      <c r="I77" s="61"/>
      <c r="J77" s="20"/>
      <c r="K77" s="20"/>
      <c r="L77" s="63"/>
      <c r="M77" s="20"/>
      <c r="N77" s="56"/>
      <c r="O77" s="56"/>
      <c r="P77" s="351"/>
    </row>
    <row r="78" spans="1:17" ht="13" hidden="1" x14ac:dyDescent="0.3">
      <c r="A78" s="14"/>
      <c r="B78" s="61"/>
      <c r="C78" s="61"/>
      <c r="D78" s="20"/>
      <c r="E78" s="20"/>
      <c r="F78" s="61"/>
      <c r="G78" s="349"/>
      <c r="H78" s="312">
        <v>0</v>
      </c>
      <c r="I78" s="61"/>
      <c r="J78" s="20"/>
      <c r="K78" s="20"/>
      <c r="L78" s="63"/>
      <c r="M78" s="20"/>
      <c r="N78" s="56"/>
      <c r="O78" s="56"/>
      <c r="P78" s="351"/>
    </row>
    <row r="79" spans="1:17" x14ac:dyDescent="0.25">
      <c r="A79" s="103"/>
      <c r="B79" s="209"/>
      <c r="C79" s="209"/>
      <c r="D79" s="103"/>
      <c r="E79" s="103"/>
      <c r="F79" s="103"/>
      <c r="G79" s="103"/>
      <c r="H79" s="103"/>
      <c r="I79" s="103"/>
      <c r="J79" s="103"/>
      <c r="K79" s="103"/>
      <c r="L79" s="103"/>
    </row>
    <row r="80" spans="1:17" x14ac:dyDescent="0.25">
      <c r="A80" s="4" t="s">
        <v>235</v>
      </c>
      <c r="B80" s="35"/>
      <c r="C80" s="35"/>
    </row>
    <row r="81" spans="1:7" x14ac:dyDescent="0.25">
      <c r="A81" s="17" t="s">
        <v>788</v>
      </c>
      <c r="B81" s="17"/>
      <c r="G81" s="17" t="s">
        <v>755</v>
      </c>
    </row>
    <row r="82" spans="1:7" x14ac:dyDescent="0.25">
      <c r="A82" s="17" t="s">
        <v>756</v>
      </c>
      <c r="B82" s="100"/>
      <c r="G82" s="17" t="s">
        <v>789</v>
      </c>
    </row>
    <row r="83" spans="1:7" x14ac:dyDescent="0.25">
      <c r="A83" s="17" t="s">
        <v>757</v>
      </c>
      <c r="G83" s="17" t="s">
        <v>790</v>
      </c>
    </row>
    <row r="84" spans="1:7" x14ac:dyDescent="0.25">
      <c r="A84" s="17" t="s">
        <v>791</v>
      </c>
      <c r="G84" s="100" t="s">
        <v>758</v>
      </c>
    </row>
    <row r="85" spans="1:7" x14ac:dyDescent="0.25">
      <c r="A85" s="17" t="s">
        <v>11</v>
      </c>
    </row>
    <row r="86" spans="1:7" x14ac:dyDescent="0.25">
      <c r="A86" s="17" t="s">
        <v>88</v>
      </c>
    </row>
  </sheetData>
  <phoneticPr fontId="0" type="noConversion"/>
  <printOptions horizontalCentered="1"/>
  <pageMargins left="0.75" right="0.75" top="1" bottom="1" header="0.5" footer="0.5"/>
  <pageSetup scale="81" fitToHeight="3" orientation="landscape" r:id="rId1"/>
  <headerFooter alignWithMargins="0">
    <oddFooter>&amp;L&amp;F</oddFooter>
  </headerFooter>
  <rowBreaks count="2" manualBreakCount="2">
    <brk id="22" max="15" man="1"/>
    <brk id="46" max="15"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5">
    <pageSetUpPr fitToPage="1"/>
  </sheetPr>
  <dimension ref="A1:R27"/>
  <sheetViews>
    <sheetView zoomScale="70" workbookViewId="0"/>
  </sheetViews>
  <sheetFormatPr defaultColWidth="9.08984375" defaultRowHeight="12.5" x14ac:dyDescent="0.25"/>
  <cols>
    <col min="1" max="1" width="42.453125" style="4" customWidth="1"/>
    <col min="2" max="2" width="8.90625" style="28" customWidth="1"/>
    <col min="3" max="3" width="3.453125" style="28" customWidth="1"/>
    <col min="4" max="4" width="10.6328125" style="4" customWidth="1"/>
    <col min="5" max="5" width="3.453125" style="4" customWidth="1"/>
    <col min="6" max="6" width="9.90625" style="4" customWidth="1"/>
    <col min="7" max="7" width="3.453125" style="4" customWidth="1"/>
    <col min="8" max="8" width="10.6328125" style="4" customWidth="1"/>
    <col min="9" max="9" width="3.453125" style="4" customWidth="1"/>
    <col min="10" max="10" width="10.6328125" style="4" customWidth="1"/>
    <col min="11" max="11" width="3.453125" style="4" customWidth="1"/>
    <col min="12" max="12" width="11.6328125" style="4" customWidth="1"/>
    <col min="13" max="13" width="3.453125" style="4" customWidth="1"/>
    <col min="14" max="14" width="8.6328125" style="4" customWidth="1"/>
    <col min="15" max="15" width="3.453125" style="4" customWidth="1"/>
    <col min="16" max="16" width="14.54296875" style="4" customWidth="1"/>
    <col min="17" max="17" width="10.54296875" style="4" bestFit="1" customWidth="1"/>
    <col min="18" max="18" width="12" style="4" customWidth="1"/>
    <col min="19" max="16384" width="9.08984375" style="4"/>
  </cols>
  <sheetData>
    <row r="1" spans="1:18" ht="15.5" x14ac:dyDescent="0.35">
      <c r="A1" s="117" t="s">
        <v>555</v>
      </c>
    </row>
    <row r="2" spans="1:18" ht="15.5" x14ac:dyDescent="0.35">
      <c r="A2" s="117" t="s">
        <v>787</v>
      </c>
    </row>
    <row r="3" spans="1:18" ht="5.15" customHeight="1" x14ac:dyDescent="0.35">
      <c r="A3" s="346"/>
    </row>
    <row r="4" spans="1:18" ht="13" x14ac:dyDescent="0.3">
      <c r="A4" s="14"/>
      <c r="B4" s="61"/>
      <c r="C4" s="61"/>
      <c r="D4" s="20"/>
      <c r="E4" s="20"/>
      <c r="F4" s="61"/>
      <c r="G4" s="61"/>
      <c r="H4" s="61"/>
      <c r="I4" s="61"/>
      <c r="J4" s="20"/>
      <c r="K4" s="20"/>
      <c r="L4" s="63"/>
      <c r="M4" s="20"/>
      <c r="N4" s="56"/>
      <c r="O4" s="56"/>
      <c r="P4" s="311"/>
    </row>
    <row r="5" spans="1:18" ht="15.5" x14ac:dyDescent="0.35">
      <c r="A5" s="117" t="s">
        <v>760</v>
      </c>
      <c r="B5" s="35"/>
      <c r="C5" s="35"/>
    </row>
    <row r="6" spans="1:18" ht="25.5" x14ac:dyDescent="0.3">
      <c r="A6" s="14"/>
      <c r="B6" s="132" t="s">
        <v>209</v>
      </c>
      <c r="C6" s="132"/>
      <c r="D6" s="119" t="s">
        <v>245</v>
      </c>
      <c r="E6" s="119"/>
      <c r="F6" s="132" t="s">
        <v>208</v>
      </c>
      <c r="G6" s="132"/>
      <c r="H6" s="132" t="s">
        <v>109</v>
      </c>
      <c r="I6" s="132"/>
      <c r="J6" s="133" t="s">
        <v>97</v>
      </c>
      <c r="K6" s="133"/>
      <c r="L6" s="119" t="s">
        <v>140</v>
      </c>
      <c r="M6" s="20"/>
      <c r="N6" s="133" t="s">
        <v>139</v>
      </c>
      <c r="O6" s="133"/>
      <c r="P6" s="119" t="s">
        <v>221</v>
      </c>
    </row>
    <row r="7" spans="1:18" x14ac:dyDescent="0.25">
      <c r="A7" s="66" t="s">
        <v>141</v>
      </c>
      <c r="B7" s="63">
        <v>0.61664385742872185</v>
      </c>
      <c r="C7" s="208" t="s">
        <v>241</v>
      </c>
      <c r="D7" s="39">
        <v>1.7351466784479892</v>
      </c>
      <c r="E7" s="39"/>
      <c r="F7" s="63">
        <f>B7*D7</f>
        <v>1.0699675410028022</v>
      </c>
      <c r="G7" s="63"/>
      <c r="H7" s="34">
        <f>'Table 3.39-Form 3579 Dist'!B5</f>
        <v>5281.2374215381478</v>
      </c>
      <c r="I7" s="208" t="s">
        <v>240</v>
      </c>
      <c r="J7" s="40">
        <f>H7/SUM($H$7:$H$8)</f>
        <v>0.56239069836320355</v>
      </c>
      <c r="K7" s="40"/>
      <c r="L7" s="63">
        <f>J7*F7</f>
        <v>0.60173979261052557</v>
      </c>
      <c r="M7" s="20"/>
      <c r="N7" s="20"/>
      <c r="O7" s="20"/>
      <c r="P7" s="20"/>
      <c r="R7" s="48"/>
    </row>
    <row r="8" spans="1:18" x14ac:dyDescent="0.25">
      <c r="A8" s="18" t="s">
        <v>749</v>
      </c>
      <c r="B8" s="63">
        <v>0.61664385742872196</v>
      </c>
      <c r="C8" s="208" t="s">
        <v>243</v>
      </c>
      <c r="D8" s="39">
        <v>1.5638897968218963</v>
      </c>
      <c r="E8" s="39"/>
      <c r="F8" s="63">
        <f>B8*D8</f>
        <v>0.96436303690567438</v>
      </c>
      <c r="G8" s="63"/>
      <c r="H8" s="34">
        <f>'Table 3.39-Form 3579 Dist'!B6</f>
        <v>4109.4538486211886</v>
      </c>
      <c r="I8" s="208" t="s">
        <v>240</v>
      </c>
      <c r="J8" s="40">
        <f>H8/SUM($H$7:$H$8)</f>
        <v>0.43760930163679651</v>
      </c>
      <c r="K8" s="40"/>
      <c r="L8" s="63">
        <f>J8*F8</f>
        <v>0.42201423510463237</v>
      </c>
      <c r="M8" s="20"/>
      <c r="N8" s="20"/>
      <c r="O8" s="20"/>
      <c r="P8" s="20"/>
      <c r="R8" s="48"/>
    </row>
    <row r="9" spans="1:18" x14ac:dyDescent="0.25">
      <c r="A9" s="66" t="s">
        <v>750</v>
      </c>
      <c r="B9" s="63">
        <f>'Table 3.40-Form Processing'!$B$6</f>
        <v>0.24001501168151962</v>
      </c>
      <c r="C9" s="206" t="s">
        <v>238</v>
      </c>
      <c r="D9" s="39">
        <v>1.7351466784479892</v>
      </c>
      <c r="E9" s="39"/>
      <c r="F9" s="63">
        <f>B9*D9</f>
        <v>0.41646125029684411</v>
      </c>
      <c r="G9" s="63"/>
      <c r="H9" s="34">
        <f>SUM(H7:H8)/'Table 3.40-Form Processing'!D6</f>
        <v>1126.3414012209814</v>
      </c>
      <c r="I9" s="208" t="s">
        <v>242</v>
      </c>
      <c r="J9" s="40">
        <f>'Table 3.40-Form Processing'!D6^-1</f>
        <v>0.11994233106141401</v>
      </c>
      <c r="K9" s="206" t="s">
        <v>238</v>
      </c>
      <c r="L9" s="63">
        <f>J9*F9</f>
        <v>4.9951333157354484E-2</v>
      </c>
      <c r="M9" s="20"/>
      <c r="N9" s="20"/>
      <c r="O9" s="20"/>
      <c r="P9" s="20"/>
      <c r="R9" s="48"/>
    </row>
    <row r="10" spans="1:18" x14ac:dyDescent="0.25">
      <c r="A10" s="66" t="s">
        <v>751</v>
      </c>
      <c r="B10" s="63">
        <v>0.43643060415664992</v>
      </c>
      <c r="C10" s="206" t="s">
        <v>239</v>
      </c>
      <c r="D10" s="39">
        <v>4.0261455179964143</v>
      </c>
      <c r="E10" s="39"/>
      <c r="F10" s="63">
        <f>B10*D10</f>
        <v>1.7571331208417633</v>
      </c>
      <c r="G10" s="63"/>
      <c r="H10" s="34">
        <f>H9</f>
        <v>1126.3414012209814</v>
      </c>
      <c r="I10" s="63"/>
      <c r="J10" s="40">
        <f>J9</f>
        <v>0.11994233106141401</v>
      </c>
      <c r="K10" s="40"/>
      <c r="L10" s="63">
        <f>J10*F10</f>
        <v>0.21075464249897838</v>
      </c>
      <c r="M10" s="20"/>
      <c r="N10" s="20"/>
      <c r="O10" s="20"/>
      <c r="P10" s="20"/>
      <c r="R10" s="48"/>
    </row>
    <row r="11" spans="1:18" x14ac:dyDescent="0.25">
      <c r="A11" s="66" t="s">
        <v>752</v>
      </c>
      <c r="B11" s="63">
        <v>2.414366782483808E-2</v>
      </c>
      <c r="C11" s="206" t="s">
        <v>239</v>
      </c>
      <c r="D11" s="39">
        <v>1.3146614554631439</v>
      </c>
      <c r="E11" s="39"/>
      <c r="F11" s="63">
        <f>B11*D11</f>
        <v>3.174074948282031E-2</v>
      </c>
      <c r="G11" s="63"/>
      <c r="H11" s="34">
        <f>H10</f>
        <v>1126.3414012209814</v>
      </c>
      <c r="I11" s="63"/>
      <c r="J11" s="40">
        <f>J9</f>
        <v>0.11994233106141401</v>
      </c>
      <c r="K11" s="40"/>
      <c r="L11" s="63">
        <f>J11*F11</f>
        <v>3.8070594826058392E-3</v>
      </c>
      <c r="M11" s="20"/>
      <c r="N11" s="20"/>
      <c r="O11" s="20"/>
      <c r="P11" s="20"/>
      <c r="R11" s="48"/>
    </row>
    <row r="12" spans="1:18" ht="13" x14ac:dyDescent="0.3">
      <c r="A12" s="14" t="s">
        <v>761</v>
      </c>
      <c r="B12" s="61"/>
      <c r="C12" s="61"/>
      <c r="D12" s="20"/>
      <c r="E12" s="20"/>
      <c r="F12" s="61"/>
      <c r="G12" s="61"/>
      <c r="H12" s="61"/>
      <c r="I12" s="61"/>
      <c r="J12" s="20"/>
      <c r="K12" s="20"/>
      <c r="L12" s="63">
        <f>SUM(L7:L11)</f>
        <v>1.2882670628540966</v>
      </c>
      <c r="M12" s="20"/>
      <c r="N12" s="56">
        <v>1</v>
      </c>
      <c r="O12" s="56"/>
      <c r="P12" s="311">
        <f>L12*N12</f>
        <v>1.2882670628540966</v>
      </c>
    </row>
    <row r="13" spans="1:18" ht="12.75" hidden="1" customHeight="1" x14ac:dyDescent="0.3">
      <c r="A13" s="14"/>
      <c r="B13" s="61"/>
      <c r="C13" s="61"/>
      <c r="D13" s="20"/>
      <c r="E13" s="20"/>
      <c r="F13" s="61"/>
      <c r="G13" s="61"/>
      <c r="H13" s="61"/>
      <c r="I13" s="61"/>
      <c r="J13" s="20"/>
      <c r="K13" s="20"/>
      <c r="L13" s="63"/>
      <c r="M13" s="20"/>
      <c r="N13" s="56"/>
      <c r="O13" s="56"/>
      <c r="P13" s="311"/>
    </row>
    <row r="14" spans="1:18" ht="12.75" hidden="1" customHeight="1" x14ac:dyDescent="0.3">
      <c r="A14" s="14"/>
      <c r="B14" s="61"/>
      <c r="C14" s="61"/>
      <c r="D14" s="20"/>
      <c r="E14" s="20"/>
      <c r="F14" s="61"/>
      <c r="G14" s="349" t="s">
        <v>451</v>
      </c>
      <c r="H14" s="350">
        <v>0</v>
      </c>
      <c r="I14" s="61"/>
      <c r="J14" s="20"/>
      <c r="K14" s="20"/>
      <c r="L14" s="63"/>
      <c r="M14" s="20"/>
      <c r="N14" s="56" t="s">
        <v>188</v>
      </c>
      <c r="O14" s="56"/>
      <c r="P14" s="312">
        <f>P12-'Table 3.41-Man Notice'!F33</f>
        <v>0</v>
      </c>
    </row>
    <row r="15" spans="1:18" ht="12.75" hidden="1" customHeight="1" x14ac:dyDescent="0.3">
      <c r="A15" s="14"/>
      <c r="B15" s="61"/>
      <c r="C15" s="61"/>
      <c r="D15" s="20"/>
      <c r="E15" s="20"/>
      <c r="F15" s="61"/>
      <c r="G15" s="349" t="s">
        <v>452</v>
      </c>
      <c r="H15" s="350">
        <v>0</v>
      </c>
      <c r="I15" s="61"/>
      <c r="J15" s="20"/>
      <c r="K15" s="20"/>
      <c r="L15" s="63"/>
      <c r="M15" s="20"/>
      <c r="N15" s="56"/>
      <c r="O15" s="56"/>
      <c r="P15" s="351"/>
    </row>
    <row r="16" spans="1:18" ht="12.75" hidden="1" customHeight="1" x14ac:dyDescent="0.3">
      <c r="A16" s="14"/>
      <c r="B16" s="61"/>
      <c r="C16" s="61"/>
      <c r="D16" s="20"/>
      <c r="E16" s="20"/>
      <c r="F16" s="61"/>
      <c r="G16" s="349"/>
      <c r="H16" s="414"/>
      <c r="I16" s="61"/>
      <c r="J16" s="20"/>
      <c r="K16" s="20"/>
      <c r="L16" s="63"/>
      <c r="M16" s="20"/>
      <c r="N16" s="56"/>
      <c r="O16" s="56"/>
      <c r="P16" s="351"/>
    </row>
    <row r="17" spans="1:6" x14ac:dyDescent="0.25">
      <c r="A17" s="103"/>
      <c r="B17" s="209"/>
      <c r="C17" s="209"/>
      <c r="D17" s="103"/>
      <c r="E17" s="103"/>
      <c r="F17" s="103"/>
    </row>
    <row r="18" spans="1:6" x14ac:dyDescent="0.25">
      <c r="A18" s="4" t="s">
        <v>235</v>
      </c>
      <c r="B18" s="35"/>
      <c r="C18" s="35"/>
    </row>
    <row r="19" spans="1:6" x14ac:dyDescent="0.25">
      <c r="A19" s="17" t="s">
        <v>788</v>
      </c>
      <c r="B19" s="4"/>
    </row>
    <row r="20" spans="1:6" x14ac:dyDescent="0.25">
      <c r="A20" s="17" t="s">
        <v>762</v>
      </c>
      <c r="B20" s="4"/>
    </row>
    <row r="21" spans="1:6" x14ac:dyDescent="0.25">
      <c r="A21" s="17" t="s">
        <v>792</v>
      </c>
      <c r="B21" s="4"/>
    </row>
    <row r="22" spans="1:6" x14ac:dyDescent="0.25">
      <c r="A22" s="17" t="s">
        <v>763</v>
      </c>
    </row>
    <row r="23" spans="1:6" x14ac:dyDescent="0.25">
      <c r="A23" s="17" t="s">
        <v>793</v>
      </c>
    </row>
    <row r="24" spans="1:6" x14ac:dyDescent="0.25">
      <c r="A24" s="100" t="s">
        <v>764</v>
      </c>
    </row>
    <row r="25" spans="1:6" x14ac:dyDescent="0.25">
      <c r="A25" s="17" t="s">
        <v>794</v>
      </c>
    </row>
    <row r="27" spans="1:6" x14ac:dyDescent="0.25">
      <c r="A27" s="28"/>
    </row>
  </sheetData>
  <phoneticPr fontId="0" type="noConversion"/>
  <printOptions horizontalCentered="1"/>
  <pageMargins left="0.75" right="0.75" top="1" bottom="1" header="0.5" footer="0.5"/>
  <pageSetup scale="81" orientation="landscape" r:id="rId1"/>
  <headerFooter alignWithMargins="0">
    <oddFooter>&amp;L&amp;F</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4"/>
  <dimension ref="A1:N89"/>
  <sheetViews>
    <sheetView zoomScale="70" zoomScaleNormal="70" workbookViewId="0"/>
  </sheetViews>
  <sheetFormatPr defaultColWidth="9.08984375" defaultRowHeight="12.5" x14ac:dyDescent="0.25"/>
  <cols>
    <col min="1" max="1" width="18.08984375" style="4" customWidth="1"/>
    <col min="2" max="2" width="14.90625" style="4" customWidth="1"/>
    <col min="3" max="3" width="21.453125" style="4" customWidth="1"/>
    <col min="4" max="4" width="11.6328125" style="4" customWidth="1"/>
    <col min="5" max="5" width="3.453125" style="4" customWidth="1"/>
    <col min="6" max="6" width="11.6328125" style="4" customWidth="1"/>
    <col min="7" max="7" width="3.453125" style="4" customWidth="1"/>
    <col min="8" max="8" width="11.6328125" style="4" customWidth="1"/>
    <col min="9" max="9" width="3.453125" style="2" customWidth="1"/>
    <col min="10" max="10" width="11.6328125" style="4" customWidth="1"/>
    <col min="11" max="11" width="3.453125" style="2" customWidth="1"/>
    <col min="12" max="12" width="11.6328125" style="2" customWidth="1"/>
    <col min="13" max="13" width="3.453125" style="2" customWidth="1"/>
    <col min="14" max="14" width="11.6328125" style="4" customWidth="1"/>
    <col min="15" max="15" width="9.08984375" style="4"/>
    <col min="16" max="16" width="9.36328125" style="4" bestFit="1" customWidth="1"/>
    <col min="17" max="16384" width="9.08984375" style="4"/>
  </cols>
  <sheetData>
    <row r="1" spans="1:14" s="2" customFormat="1" ht="15.5" x14ac:dyDescent="0.35">
      <c r="A1" s="117" t="s">
        <v>556</v>
      </c>
    </row>
    <row r="2" spans="1:14" ht="15.75" customHeight="1" x14ac:dyDescent="0.35">
      <c r="A2" s="117" t="s">
        <v>787</v>
      </c>
      <c r="B2" s="1"/>
      <c r="C2" s="1"/>
      <c r="D2" s="1"/>
      <c r="E2" s="1"/>
      <c r="F2" s="1"/>
      <c r="G2" s="1"/>
      <c r="H2" s="1"/>
      <c r="I2" s="1"/>
      <c r="J2" s="1"/>
      <c r="K2" s="1"/>
      <c r="L2" s="1"/>
      <c r="M2" s="1"/>
      <c r="N2" s="1"/>
    </row>
    <row r="3" spans="1:14" ht="5.15" customHeight="1" x14ac:dyDescent="0.35">
      <c r="A3" s="335"/>
      <c r="B3" s="1"/>
      <c r="C3" s="1"/>
      <c r="D3" s="1"/>
      <c r="E3" s="1"/>
      <c r="F3" s="1"/>
      <c r="G3" s="1"/>
      <c r="H3" s="1"/>
      <c r="I3" s="1"/>
      <c r="J3" s="1"/>
      <c r="K3" s="1"/>
      <c r="L3" s="1"/>
      <c r="M3" s="1"/>
      <c r="N3" s="1"/>
    </row>
    <row r="4" spans="1:14" ht="12.75" customHeight="1" x14ac:dyDescent="0.3">
      <c r="A4" s="5" t="s">
        <v>355</v>
      </c>
      <c r="B4" s="242"/>
      <c r="C4" s="242"/>
      <c r="D4" s="20"/>
      <c r="E4" s="20"/>
      <c r="F4" s="20"/>
      <c r="G4" s="20"/>
      <c r="H4" s="20"/>
      <c r="I4" s="20"/>
      <c r="J4" s="20"/>
      <c r="K4" s="20"/>
      <c r="L4" s="20"/>
      <c r="M4" s="20"/>
      <c r="N4" s="61"/>
    </row>
    <row r="5" spans="1:14" ht="25.5" customHeight="1" x14ac:dyDescent="0.25">
      <c r="A5" s="326" t="s">
        <v>356</v>
      </c>
      <c r="B5" s="326" t="s">
        <v>357</v>
      </c>
      <c r="C5" s="327" t="s">
        <v>364</v>
      </c>
      <c r="D5" s="119" t="s">
        <v>370</v>
      </c>
      <c r="E5" s="20"/>
      <c r="F5" s="138" t="s">
        <v>249</v>
      </c>
      <c r="G5" s="119"/>
      <c r="H5" s="135" t="s">
        <v>337</v>
      </c>
      <c r="I5" s="118"/>
      <c r="J5" s="119" t="s">
        <v>246</v>
      </c>
      <c r="K5" s="118"/>
      <c r="L5" s="119" t="s">
        <v>218</v>
      </c>
      <c r="M5" s="118"/>
      <c r="N5" s="119" t="s">
        <v>338</v>
      </c>
    </row>
    <row r="6" spans="1:14" ht="12.75" customHeight="1" x14ac:dyDescent="0.25">
      <c r="A6" s="11" t="s">
        <v>358</v>
      </c>
      <c r="B6" t="s">
        <v>184</v>
      </c>
      <c r="C6" t="s">
        <v>359</v>
      </c>
      <c r="D6" s="34">
        <v>11333.254000000001</v>
      </c>
      <c r="E6" s="20"/>
      <c r="F6" s="36">
        <v>1052.5593112356012</v>
      </c>
      <c r="G6" s="17"/>
      <c r="H6" s="63">
        <f t="shared" ref="H6:H13" si="0">IF(D6&lt;&gt;0,F6/D6,0)</f>
        <v>9.2873530517854894E-2</v>
      </c>
      <c r="I6" s="20"/>
      <c r="J6" s="39">
        <v>1.3000580766015875</v>
      </c>
      <c r="K6" s="20"/>
      <c r="L6" s="36">
        <f t="shared" ref="L6:L12" si="1">F6*J6</f>
        <v>1368.3882336740473</v>
      </c>
      <c r="M6" s="20"/>
      <c r="N6" s="61">
        <f t="shared" ref="N6:N13" si="2">IF(D6&lt;&gt;0,L6/D6,0)</f>
        <v>0.12074098345224128</v>
      </c>
    </row>
    <row r="7" spans="1:14" ht="12.75" customHeight="1" x14ac:dyDescent="0.25">
      <c r="A7"/>
      <c r="B7" s="11" t="s">
        <v>319</v>
      </c>
      <c r="C7" s="11" t="s">
        <v>377</v>
      </c>
      <c r="D7" s="34">
        <v>11333.254000000001</v>
      </c>
      <c r="E7" s="20"/>
      <c r="F7" s="36">
        <v>223.72830977471375</v>
      </c>
      <c r="G7" s="17"/>
      <c r="H7" s="63">
        <f t="shared" si="0"/>
        <v>1.9740871401515727E-2</v>
      </c>
      <c r="I7" s="20"/>
      <c r="J7" s="39">
        <v>1.7351466784479892</v>
      </c>
      <c r="K7" s="20"/>
      <c r="L7" s="36">
        <f t="shared" si="1"/>
        <v>388.20143358037734</v>
      </c>
      <c r="M7" s="20"/>
      <c r="N7" s="61">
        <f t="shared" si="2"/>
        <v>3.4253307442008912E-2</v>
      </c>
    </row>
    <row r="8" spans="1:14" ht="12.75" customHeight="1" x14ac:dyDescent="0.25">
      <c r="A8"/>
      <c r="B8" s="11"/>
      <c r="C8" s="11" t="s">
        <v>378</v>
      </c>
      <c r="D8" s="34">
        <v>11333.254000000001</v>
      </c>
      <c r="E8" s="20"/>
      <c r="F8" s="36">
        <v>755.08304548965884</v>
      </c>
      <c r="G8" s="17"/>
      <c r="H8" s="63">
        <f t="shared" si="0"/>
        <v>6.662544098011558E-2</v>
      </c>
      <c r="I8" s="20"/>
      <c r="J8" s="39">
        <v>1.7351466784479892</v>
      </c>
      <c r="K8" s="20"/>
      <c r="L8" s="36">
        <f t="shared" si="1"/>
        <v>1310.1798383337734</v>
      </c>
      <c r="M8" s="20"/>
      <c r="N8" s="61">
        <f t="shared" si="2"/>
        <v>0.11560491261678009</v>
      </c>
    </row>
    <row r="9" spans="1:14" ht="12.75" customHeight="1" x14ac:dyDescent="0.25">
      <c r="A9"/>
      <c r="B9" s="11"/>
      <c r="C9" s="11" t="s">
        <v>379</v>
      </c>
      <c r="D9" s="34">
        <v>48.989520231828351</v>
      </c>
      <c r="E9" s="20"/>
      <c r="F9" s="36">
        <v>24.302138385726728</v>
      </c>
      <c r="G9" s="17"/>
      <c r="H9" s="63">
        <f t="shared" si="0"/>
        <v>0.49606810335606633</v>
      </c>
      <c r="I9" s="20"/>
      <c r="J9" s="39">
        <v>1.7351466784479892</v>
      </c>
      <c r="K9" s="20"/>
      <c r="L9" s="36">
        <f t="shared" si="1"/>
        <v>42.167774699177109</v>
      </c>
      <c r="M9" s="20"/>
      <c r="N9" s="61">
        <f t="shared" si="2"/>
        <v>0.8607509218222722</v>
      </c>
    </row>
    <row r="10" spans="1:14" ht="12.75" customHeight="1" x14ac:dyDescent="0.25">
      <c r="A10"/>
      <c r="B10" s="12" t="s">
        <v>371</v>
      </c>
      <c r="C10" s="12" t="s">
        <v>372</v>
      </c>
      <c r="D10" s="34">
        <v>11333.254000000001</v>
      </c>
      <c r="E10" s="20"/>
      <c r="F10" s="36">
        <v>37.246687120626348</v>
      </c>
      <c r="G10" s="17"/>
      <c r="H10" s="63">
        <f t="shared" si="0"/>
        <v>3.2864953984642316E-3</v>
      </c>
      <c r="I10" s="20"/>
      <c r="J10" s="39">
        <v>1.7351466784479892</v>
      </c>
      <c r="K10" s="20"/>
      <c r="L10" s="36">
        <f t="shared" si="1"/>
        <v>64.628465440546307</v>
      </c>
      <c r="M10" s="20"/>
      <c r="N10" s="61">
        <f t="shared" si="2"/>
        <v>5.7025515743798121E-3</v>
      </c>
    </row>
    <row r="11" spans="1:14" ht="12.75" customHeight="1" x14ac:dyDescent="0.25">
      <c r="A11"/>
      <c r="B11" t="s">
        <v>138</v>
      </c>
      <c r="C11" s="11" t="s">
        <v>380</v>
      </c>
      <c r="D11" s="34">
        <v>11333.254000000001</v>
      </c>
      <c r="E11" s="20"/>
      <c r="F11" s="36">
        <v>7976.2848107373338</v>
      </c>
      <c r="G11" s="17"/>
      <c r="H11" s="63">
        <f t="shared" si="0"/>
        <v>0.70379476280486908</v>
      </c>
      <c r="I11" s="20"/>
      <c r="J11" s="39">
        <v>1.3146614554631439</v>
      </c>
      <c r="K11" s="20"/>
      <c r="L11" s="36">
        <f t="shared" si="1"/>
        <v>10486.114198472511</v>
      </c>
      <c r="M11" s="20"/>
      <c r="N11" s="61">
        <f t="shared" si="2"/>
        <v>0.92525184721638731</v>
      </c>
    </row>
    <row r="12" spans="1:14" ht="12.75" customHeight="1" x14ac:dyDescent="0.25">
      <c r="A12" s="204"/>
      <c r="B12" s="204" t="s">
        <v>138</v>
      </c>
      <c r="C12" s="238" t="s">
        <v>182</v>
      </c>
      <c r="D12" s="328">
        <v>809.51814285714283</v>
      </c>
      <c r="E12" s="329"/>
      <c r="F12" s="332">
        <v>77.285226663439204</v>
      </c>
      <c r="G12" s="106"/>
      <c r="H12" s="330">
        <f t="shared" si="0"/>
        <v>9.5470654172945285E-2</v>
      </c>
      <c r="I12" s="329"/>
      <c r="J12" s="331">
        <v>1.5638897968218963</v>
      </c>
      <c r="K12" s="329"/>
      <c r="L12" s="332">
        <f t="shared" si="1"/>
        <v>120.86557742402015</v>
      </c>
      <c r="M12" s="329"/>
      <c r="N12" s="129">
        <f t="shared" si="2"/>
        <v>0.14930558195698093</v>
      </c>
    </row>
    <row r="13" spans="1:14" ht="12.75" customHeight="1" x14ac:dyDescent="0.25">
      <c r="A13"/>
      <c r="B13"/>
      <c r="C13" s="12" t="s">
        <v>102</v>
      </c>
      <c r="D13" s="34">
        <v>11333.254000000001</v>
      </c>
      <c r="E13" s="20"/>
      <c r="F13" s="36">
        <f>SUM(F6:F12)</f>
        <v>10146.489529407101</v>
      </c>
      <c r="G13" s="20"/>
      <c r="H13" s="63">
        <f t="shared" si="0"/>
        <v>0.89528475488214598</v>
      </c>
      <c r="I13" s="20"/>
      <c r="J13" s="20"/>
      <c r="K13" s="20"/>
      <c r="L13" s="36">
        <f>SUM(L6:L12)</f>
        <v>13780.545521624452</v>
      </c>
      <c r="M13" s="20"/>
      <c r="N13" s="61">
        <f t="shared" si="2"/>
        <v>1.2159389987751488</v>
      </c>
    </row>
    <row r="14" spans="1:14" ht="12.75" customHeight="1" x14ac:dyDescent="0.25">
      <c r="A14"/>
      <c r="B14"/>
      <c r="C14"/>
      <c r="D14" s="20"/>
      <c r="E14" s="20"/>
      <c r="F14" s="20"/>
      <c r="G14" s="20"/>
      <c r="H14" s="20"/>
      <c r="I14" s="20"/>
      <c r="J14" s="20"/>
      <c r="K14" s="20"/>
      <c r="L14" s="20"/>
      <c r="M14" s="20"/>
      <c r="N14" s="61"/>
    </row>
    <row r="15" spans="1:14" ht="12.75" customHeight="1" x14ac:dyDescent="0.25">
      <c r="A15" t="s">
        <v>360</v>
      </c>
      <c r="B15" t="s">
        <v>138</v>
      </c>
      <c r="C15" s="11" t="s">
        <v>361</v>
      </c>
      <c r="D15" s="34">
        <v>2079.038</v>
      </c>
      <c r="E15" s="20"/>
      <c r="F15" s="36">
        <v>1170.5728448578477</v>
      </c>
      <c r="G15" s="17"/>
      <c r="H15" s="63">
        <f t="shared" ref="H15:H22" si="3">IF(D15&lt;&gt;0,F15/D15,0)</f>
        <v>0.56303581024389537</v>
      </c>
      <c r="I15" s="20"/>
      <c r="J15" s="39">
        <v>1.3146614554631439</v>
      </c>
      <c r="K15" s="20"/>
      <c r="L15" s="36">
        <f t="shared" ref="L15:L21" si="4">F15*J15</f>
        <v>1538.9069999464512</v>
      </c>
      <c r="M15" s="20"/>
      <c r="N15" s="61">
        <f t="shared" ref="N15:N22" si="5">IF(D15&lt;&gt;0,L15/D15,0)</f>
        <v>0.74020147777311007</v>
      </c>
    </row>
    <row r="16" spans="1:14" ht="12.75" customHeight="1" x14ac:dyDescent="0.25">
      <c r="A16"/>
      <c r="B16" s="11" t="s">
        <v>319</v>
      </c>
      <c r="C16" s="11" t="s">
        <v>377</v>
      </c>
      <c r="D16" s="34">
        <v>2079.038</v>
      </c>
      <c r="E16" s="20"/>
      <c r="F16" s="36">
        <v>41.042021796864461</v>
      </c>
      <c r="G16" s="17"/>
      <c r="H16" s="63">
        <f t="shared" si="3"/>
        <v>1.974087140151573E-2</v>
      </c>
      <c r="I16" s="20"/>
      <c r="J16" s="39">
        <v>1.7351466784479892</v>
      </c>
      <c r="K16" s="20"/>
      <c r="L16" s="36">
        <f t="shared" si="4"/>
        <v>71.213927797619348</v>
      </c>
      <c r="M16" s="20"/>
      <c r="N16" s="61">
        <f t="shared" si="5"/>
        <v>3.4253307442008926E-2</v>
      </c>
    </row>
    <row r="17" spans="1:14" ht="12.75" customHeight="1" x14ac:dyDescent="0.25">
      <c r="A17"/>
      <c r="B17" s="11"/>
      <c r="C17" s="11" t="s">
        <v>378</v>
      </c>
      <c r="D17" s="34">
        <v>2079.038</v>
      </c>
      <c r="E17" s="20"/>
      <c r="F17" s="36">
        <v>138.51682356441754</v>
      </c>
      <c r="G17" s="17"/>
      <c r="H17" s="63">
        <f t="shared" si="3"/>
        <v>6.662544098011558E-2</v>
      </c>
      <c r="I17" s="20"/>
      <c r="J17" s="39">
        <v>1.7351466784479892</v>
      </c>
      <c r="K17" s="20"/>
      <c r="L17" s="36">
        <f t="shared" si="4"/>
        <v>240.34700631696523</v>
      </c>
      <c r="M17" s="20"/>
      <c r="N17" s="61">
        <f t="shared" si="5"/>
        <v>0.11560491261678009</v>
      </c>
    </row>
    <row r="18" spans="1:14" ht="12.75" customHeight="1" x14ac:dyDescent="0.25">
      <c r="A18"/>
      <c r="B18" s="11"/>
      <c r="C18" s="11" t="s">
        <v>379</v>
      </c>
      <c r="D18" s="34">
        <v>8.9869223934926339</v>
      </c>
      <c r="E18" s="20"/>
      <c r="F18" s="36">
        <v>4.4581255467480503</v>
      </c>
      <c r="G18" s="17"/>
      <c r="H18" s="63">
        <f t="shared" si="3"/>
        <v>0.49606810335606627</v>
      </c>
      <c r="I18" s="20"/>
      <c r="J18" s="39">
        <v>1.7351466784479892</v>
      </c>
      <c r="K18" s="20"/>
      <c r="L18" s="36">
        <f t="shared" si="4"/>
        <v>7.7355017345440054</v>
      </c>
      <c r="M18" s="20"/>
      <c r="N18" s="61">
        <f t="shared" si="5"/>
        <v>0.8607509218222722</v>
      </c>
    </row>
    <row r="19" spans="1:14" ht="12.75" customHeight="1" x14ac:dyDescent="0.25">
      <c r="A19"/>
      <c r="B19" s="12" t="s">
        <v>371</v>
      </c>
      <c r="C19" s="12" t="s">
        <v>372</v>
      </c>
      <c r="D19" s="34">
        <v>2079.038</v>
      </c>
      <c r="E19" s="20"/>
      <c r="F19" s="36">
        <v>6.8327488202322799</v>
      </c>
      <c r="G19" s="17"/>
      <c r="H19" s="63">
        <f t="shared" si="3"/>
        <v>3.2864953984642321E-3</v>
      </c>
      <c r="I19" s="20"/>
      <c r="J19" s="39">
        <v>1.7351466784479892</v>
      </c>
      <c r="K19" s="20"/>
      <c r="L19" s="36">
        <f t="shared" si="4"/>
        <v>11.855821420095458</v>
      </c>
      <c r="M19" s="20"/>
      <c r="N19" s="61">
        <f t="shared" si="5"/>
        <v>5.702551574379813E-3</v>
      </c>
    </row>
    <row r="20" spans="1:14" ht="12.75" customHeight="1" x14ac:dyDescent="0.25">
      <c r="A20"/>
      <c r="B20" t="s">
        <v>138</v>
      </c>
      <c r="C20" s="11" t="s">
        <v>380</v>
      </c>
      <c r="D20" s="34">
        <v>2079.038</v>
      </c>
      <c r="E20" s="20"/>
      <c r="F20" s="36">
        <v>1463.2160560723096</v>
      </c>
      <c r="G20" s="17"/>
      <c r="H20" s="63">
        <f t="shared" si="3"/>
        <v>0.70379476280486919</v>
      </c>
      <c r="I20" s="20"/>
      <c r="J20" s="39">
        <v>1.3146614554631439</v>
      </c>
      <c r="K20" s="20"/>
      <c r="L20" s="36">
        <f t="shared" si="4"/>
        <v>1923.6337499330637</v>
      </c>
      <c r="M20" s="20"/>
      <c r="N20" s="61">
        <f t="shared" si="5"/>
        <v>0.92525184721638742</v>
      </c>
    </row>
    <row r="21" spans="1:14" ht="12.75" customHeight="1" x14ac:dyDescent="0.25">
      <c r="A21" s="204"/>
      <c r="B21" s="204" t="s">
        <v>138</v>
      </c>
      <c r="C21" s="238" t="s">
        <v>182</v>
      </c>
      <c r="D21" s="328">
        <v>148.50271428571429</v>
      </c>
      <c r="E21" s="329"/>
      <c r="F21" s="332">
        <v>14.177651279315128</v>
      </c>
      <c r="G21" s="106"/>
      <c r="H21" s="330">
        <f t="shared" si="3"/>
        <v>9.5470654172945271E-2</v>
      </c>
      <c r="I21" s="329"/>
      <c r="J21" s="331">
        <v>1.5638897968218963</v>
      </c>
      <c r="K21" s="329"/>
      <c r="L21" s="332">
        <f t="shared" si="4"/>
        <v>22.172284178619833</v>
      </c>
      <c r="M21" s="329"/>
      <c r="N21" s="129">
        <f t="shared" si="5"/>
        <v>0.1493055819569809</v>
      </c>
    </row>
    <row r="22" spans="1:14" ht="12.75" customHeight="1" x14ac:dyDescent="0.25">
      <c r="A22"/>
      <c r="B22"/>
      <c r="C22"/>
      <c r="D22" s="34">
        <v>2079.038</v>
      </c>
      <c r="E22" s="20"/>
      <c r="F22" s="36">
        <f>SUM(F15:F21)</f>
        <v>2838.8162719377351</v>
      </c>
      <c r="G22" s="20"/>
      <c r="H22" s="63">
        <f t="shared" si="3"/>
        <v>1.3654470346081866</v>
      </c>
      <c r="I22" s="20"/>
      <c r="J22" s="20"/>
      <c r="K22" s="20"/>
      <c r="L22" s="36">
        <f>SUM(L15:L21)</f>
        <v>3815.8652913273586</v>
      </c>
      <c r="M22" s="20"/>
      <c r="N22" s="61">
        <f t="shared" si="5"/>
        <v>1.8353994930960178</v>
      </c>
    </row>
    <row r="23" spans="1:14" ht="12.75" customHeight="1" x14ac:dyDescent="0.25">
      <c r="A23"/>
      <c r="B23"/>
      <c r="C23"/>
      <c r="D23" s="20"/>
      <c r="E23" s="20"/>
      <c r="F23" s="20"/>
      <c r="G23" s="20"/>
      <c r="H23" s="20"/>
      <c r="I23" s="20"/>
      <c r="J23" s="20"/>
      <c r="K23" s="20"/>
      <c r="L23" s="20"/>
      <c r="M23" s="20"/>
      <c r="N23" s="61"/>
    </row>
    <row r="24" spans="1:14" ht="12.75" customHeight="1" x14ac:dyDescent="0.25">
      <c r="A24" t="s">
        <v>362</v>
      </c>
      <c r="B24" s="11" t="s">
        <v>319</v>
      </c>
      <c r="C24" s="11" t="s">
        <v>377</v>
      </c>
      <c r="D24" s="34">
        <v>0</v>
      </c>
      <c r="E24" s="20"/>
      <c r="F24" s="36">
        <v>0</v>
      </c>
      <c r="G24" s="17"/>
      <c r="H24" s="63">
        <f t="shared" ref="H24:H30" si="6">IF(D24&lt;&gt;0,F24/D24,0)</f>
        <v>0</v>
      </c>
      <c r="I24" s="20"/>
      <c r="J24" s="39">
        <v>1.7351466784479892</v>
      </c>
      <c r="K24" s="20"/>
      <c r="L24" s="36">
        <f t="shared" ref="L24:L29" si="7">F24*J24</f>
        <v>0</v>
      </c>
      <c r="M24" s="20"/>
      <c r="N24" s="61">
        <f t="shared" ref="N24:N30" si="8">IF(D24&lt;&gt;0,L24/D24,0)</f>
        <v>0</v>
      </c>
    </row>
    <row r="25" spans="1:14" ht="12.75" customHeight="1" x14ac:dyDescent="0.25">
      <c r="A25"/>
      <c r="B25" s="11"/>
      <c r="C25" s="11" t="s">
        <v>378</v>
      </c>
      <c r="D25" s="34">
        <v>15953.023999999999</v>
      </c>
      <c r="E25" s="20"/>
      <c r="F25" s="36">
        <v>1062.8772589663672</v>
      </c>
      <c r="G25" s="17"/>
      <c r="H25" s="63">
        <f t="shared" si="6"/>
        <v>6.6625440980115566E-2</v>
      </c>
      <c r="I25" s="20"/>
      <c r="J25" s="39">
        <v>1.7351466784479892</v>
      </c>
      <c r="K25" s="20"/>
      <c r="L25" s="36">
        <f t="shared" si="7"/>
        <v>1844.2479454933953</v>
      </c>
      <c r="M25" s="20"/>
      <c r="N25" s="61">
        <f t="shared" si="8"/>
        <v>0.11560491261678008</v>
      </c>
    </row>
    <row r="26" spans="1:14" ht="12.75" customHeight="1" x14ac:dyDescent="0.25">
      <c r="A26"/>
      <c r="B26" s="11"/>
      <c r="C26" s="11" t="s">
        <v>379</v>
      </c>
      <c r="D26" s="34">
        <v>0</v>
      </c>
      <c r="E26" s="20"/>
      <c r="F26" s="36">
        <v>0</v>
      </c>
      <c r="G26" s="17"/>
      <c r="H26" s="63">
        <f t="shared" si="6"/>
        <v>0</v>
      </c>
      <c r="I26" s="20"/>
      <c r="J26" s="39">
        <v>1.7351466784479892</v>
      </c>
      <c r="K26" s="20"/>
      <c r="L26" s="36">
        <f t="shared" si="7"/>
        <v>0</v>
      </c>
      <c r="M26" s="20"/>
      <c r="N26" s="61">
        <f t="shared" si="8"/>
        <v>0</v>
      </c>
    </row>
    <row r="27" spans="1:14" ht="12.75" customHeight="1" x14ac:dyDescent="0.25">
      <c r="A27"/>
      <c r="B27" s="12" t="s">
        <v>371</v>
      </c>
      <c r="C27" s="12" t="s">
        <v>372</v>
      </c>
      <c r="D27" s="34">
        <v>15953.023999999999</v>
      </c>
      <c r="E27" s="20"/>
      <c r="F27" s="36">
        <v>52.429539967589449</v>
      </c>
      <c r="G27" s="17"/>
      <c r="H27" s="63">
        <f t="shared" si="6"/>
        <v>3.2864953984642316E-3</v>
      </c>
      <c r="I27" s="20"/>
      <c r="J27" s="39">
        <v>1.7351466784479892</v>
      </c>
      <c r="K27" s="20"/>
      <c r="L27" s="36">
        <f t="shared" si="7"/>
        <v>90.97294212731893</v>
      </c>
      <c r="M27" s="20"/>
      <c r="N27" s="61">
        <f t="shared" si="8"/>
        <v>5.7025515743798121E-3</v>
      </c>
    </row>
    <row r="28" spans="1:14" ht="12.75" customHeight="1" x14ac:dyDescent="0.25">
      <c r="A28"/>
      <c r="B28" t="s">
        <v>138</v>
      </c>
      <c r="C28" s="11" t="s">
        <v>380</v>
      </c>
      <c r="D28" s="34">
        <v>15953.023999999999</v>
      </c>
      <c r="E28" s="20"/>
      <c r="F28" s="36">
        <v>11227.654742100383</v>
      </c>
      <c r="G28" s="17"/>
      <c r="H28" s="63">
        <f t="shared" si="6"/>
        <v>0.70379476280486908</v>
      </c>
      <c r="I28" s="20"/>
      <c r="J28" s="39">
        <v>1.3146614554631439</v>
      </c>
      <c r="K28" s="20"/>
      <c r="L28" s="36">
        <f t="shared" si="7"/>
        <v>14760.56492468736</v>
      </c>
      <c r="M28" s="20"/>
      <c r="N28" s="61">
        <f t="shared" si="8"/>
        <v>0.92525184721638731</v>
      </c>
    </row>
    <row r="29" spans="1:14" ht="12.75" customHeight="1" x14ac:dyDescent="0.25">
      <c r="A29" s="204"/>
      <c r="B29" s="204" t="s">
        <v>138</v>
      </c>
      <c r="C29" s="238" t="s">
        <v>182</v>
      </c>
      <c r="D29" s="328">
        <v>1139.5017142857143</v>
      </c>
      <c r="E29" s="329"/>
      <c r="F29" s="332">
        <v>108.78897409404973</v>
      </c>
      <c r="G29" s="106"/>
      <c r="H29" s="330">
        <f t="shared" si="6"/>
        <v>9.5470654172945285E-2</v>
      </c>
      <c r="I29" s="329"/>
      <c r="J29" s="331">
        <v>1.5638897968218963</v>
      </c>
      <c r="K29" s="329"/>
      <c r="L29" s="332">
        <f t="shared" si="7"/>
        <v>170.13396659240598</v>
      </c>
      <c r="M29" s="329"/>
      <c r="N29" s="129">
        <f t="shared" si="8"/>
        <v>0.14930558195698093</v>
      </c>
    </row>
    <row r="30" spans="1:14" ht="12.75" customHeight="1" x14ac:dyDescent="0.25">
      <c r="A30"/>
      <c r="B30"/>
      <c r="C30"/>
      <c r="D30" s="34">
        <v>15953.023999999999</v>
      </c>
      <c r="E30" s="20"/>
      <c r="F30" s="36">
        <f>SUM(F24:F29)</f>
        <v>12451.750515128389</v>
      </c>
      <c r="G30" s="20"/>
      <c r="H30" s="63">
        <f t="shared" si="6"/>
        <v>0.78052603162437351</v>
      </c>
      <c r="I30" s="20"/>
      <c r="J30" s="20"/>
      <c r="K30" s="20"/>
      <c r="L30" s="36">
        <f>SUM(L23:L29)</f>
        <v>16865.919778900479</v>
      </c>
      <c r="M30" s="20"/>
      <c r="N30" s="61">
        <f t="shared" si="8"/>
        <v>1.0572239958330458</v>
      </c>
    </row>
    <row r="31" spans="1:14" ht="12.75" customHeight="1" x14ac:dyDescent="0.25">
      <c r="A31"/>
      <c r="B31"/>
      <c r="C31"/>
      <c r="D31" s="20"/>
      <c r="E31" s="20"/>
      <c r="F31" s="20"/>
      <c r="G31" s="20"/>
      <c r="H31" s="20"/>
      <c r="I31" s="20"/>
      <c r="J31" s="20"/>
      <c r="K31" s="20"/>
      <c r="L31" s="20"/>
      <c r="M31" s="20"/>
      <c r="N31" s="61"/>
    </row>
    <row r="32" spans="1:14" ht="12.75" customHeight="1" x14ac:dyDescent="0.25">
      <c r="A32" t="s">
        <v>363</v>
      </c>
      <c r="B32" s="11" t="s">
        <v>319</v>
      </c>
      <c r="C32" s="11" t="s">
        <v>377</v>
      </c>
      <c r="D32" s="34">
        <v>0</v>
      </c>
      <c r="E32" s="20"/>
      <c r="F32" s="36">
        <v>0</v>
      </c>
      <c r="G32" s="17"/>
      <c r="H32" s="63">
        <f t="shared" ref="H32:H38" si="9">IF(D32&lt;&gt;0,F32/D32,0)</f>
        <v>0</v>
      </c>
      <c r="I32" s="20"/>
      <c r="J32" s="39">
        <v>1.7351466784479892</v>
      </c>
      <c r="K32" s="20"/>
      <c r="L32" s="36">
        <f t="shared" ref="L32:L37" si="10">F32*J32</f>
        <v>0</v>
      </c>
      <c r="M32" s="20"/>
      <c r="N32" s="61">
        <f t="shared" ref="N32:N38" si="11">IF(D32&lt;&gt;0,L32/D32,0)</f>
        <v>0</v>
      </c>
    </row>
    <row r="33" spans="1:14" ht="12.75" customHeight="1" x14ac:dyDescent="0.25">
      <c r="A33"/>
      <c r="B33" s="11"/>
      <c r="C33" s="11" t="s">
        <v>378</v>
      </c>
      <c r="D33" s="34">
        <v>0</v>
      </c>
      <c r="E33" s="20"/>
      <c r="F33" s="36">
        <v>0</v>
      </c>
      <c r="G33" s="17"/>
      <c r="H33" s="63">
        <f t="shared" si="9"/>
        <v>0</v>
      </c>
      <c r="I33" s="20"/>
      <c r="J33" s="39">
        <v>1.7351466784479892</v>
      </c>
      <c r="K33" s="20"/>
      <c r="L33" s="36">
        <f t="shared" si="10"/>
        <v>0</v>
      </c>
      <c r="M33" s="20"/>
      <c r="N33" s="61">
        <f t="shared" si="11"/>
        <v>0</v>
      </c>
    </row>
    <row r="34" spans="1:14" ht="12.75" customHeight="1" x14ac:dyDescent="0.25">
      <c r="A34"/>
      <c r="B34" s="11"/>
      <c r="C34" s="11" t="s">
        <v>379</v>
      </c>
      <c r="D34" s="34">
        <v>0</v>
      </c>
      <c r="E34" s="20"/>
      <c r="F34" s="36">
        <v>0</v>
      </c>
      <c r="G34" s="17"/>
      <c r="H34" s="63">
        <f t="shared" si="9"/>
        <v>0</v>
      </c>
      <c r="I34" s="20"/>
      <c r="J34" s="39">
        <v>1.7351466784479892</v>
      </c>
      <c r="K34" s="20"/>
      <c r="L34" s="36">
        <f t="shared" si="10"/>
        <v>0</v>
      </c>
      <c r="M34" s="20"/>
      <c r="N34" s="61">
        <f t="shared" si="11"/>
        <v>0</v>
      </c>
    </row>
    <row r="35" spans="1:14" ht="12.75" customHeight="1" x14ac:dyDescent="0.25">
      <c r="A35"/>
      <c r="B35" s="12" t="s">
        <v>371</v>
      </c>
      <c r="C35" s="12" t="s">
        <v>372</v>
      </c>
      <c r="D35" s="34">
        <v>0</v>
      </c>
      <c r="E35" s="20"/>
      <c r="F35" s="36">
        <v>0</v>
      </c>
      <c r="G35" s="17"/>
      <c r="H35" s="63">
        <f t="shared" si="9"/>
        <v>0</v>
      </c>
      <c r="I35" s="20"/>
      <c r="J35" s="39">
        <v>1.7351466784479892</v>
      </c>
      <c r="K35" s="20"/>
      <c r="L35" s="36">
        <f t="shared" si="10"/>
        <v>0</v>
      </c>
      <c r="M35" s="20"/>
      <c r="N35" s="61">
        <f t="shared" si="11"/>
        <v>0</v>
      </c>
    </row>
    <row r="36" spans="1:14" ht="12.75" customHeight="1" x14ac:dyDescent="0.25">
      <c r="A36"/>
      <c r="B36" t="s">
        <v>138</v>
      </c>
      <c r="C36" s="11" t="s">
        <v>380</v>
      </c>
      <c r="D36" s="34">
        <v>0</v>
      </c>
      <c r="E36" s="20"/>
      <c r="F36" s="36">
        <v>0</v>
      </c>
      <c r="G36" s="17"/>
      <c r="H36" s="63">
        <f t="shared" si="9"/>
        <v>0</v>
      </c>
      <c r="I36" s="20"/>
      <c r="J36" s="39">
        <v>1.3146614554631439</v>
      </c>
      <c r="K36" s="20"/>
      <c r="L36" s="36">
        <f t="shared" si="10"/>
        <v>0</v>
      </c>
      <c r="M36" s="20"/>
      <c r="N36" s="61">
        <f t="shared" si="11"/>
        <v>0</v>
      </c>
    </row>
    <row r="37" spans="1:14" ht="12.75" customHeight="1" x14ac:dyDescent="0.25">
      <c r="A37" s="204"/>
      <c r="B37" s="204" t="s">
        <v>138</v>
      </c>
      <c r="C37" s="238" t="s">
        <v>182</v>
      </c>
      <c r="D37" s="328">
        <v>0</v>
      </c>
      <c r="E37" s="329"/>
      <c r="F37" s="332">
        <v>0</v>
      </c>
      <c r="G37" s="106"/>
      <c r="H37" s="330">
        <f t="shared" si="9"/>
        <v>0</v>
      </c>
      <c r="I37" s="329"/>
      <c r="J37" s="331">
        <v>1.5638897968218963</v>
      </c>
      <c r="K37" s="329"/>
      <c r="L37" s="332">
        <f t="shared" si="10"/>
        <v>0</v>
      </c>
      <c r="M37" s="329"/>
      <c r="N37" s="129">
        <f t="shared" si="11"/>
        <v>0</v>
      </c>
    </row>
    <row r="38" spans="1:14" ht="12.75" customHeight="1" x14ac:dyDescent="0.3">
      <c r="A38" s="5"/>
      <c r="B38" s="20"/>
      <c r="C38" s="20"/>
      <c r="D38" s="34">
        <v>0</v>
      </c>
      <c r="E38" s="20"/>
      <c r="F38" s="36">
        <f>SUM(F32:F37)</f>
        <v>0</v>
      </c>
      <c r="G38" s="20"/>
      <c r="H38" s="63">
        <f t="shared" si="9"/>
        <v>0</v>
      </c>
      <c r="I38" s="20"/>
      <c r="J38" s="20"/>
      <c r="K38" s="20"/>
      <c r="L38" s="36">
        <f>SUM(L31:L37)</f>
        <v>0</v>
      </c>
      <c r="M38" s="20"/>
      <c r="N38" s="61">
        <f t="shared" si="11"/>
        <v>0</v>
      </c>
    </row>
    <row r="39" spans="1:14" ht="5.15" customHeight="1" x14ac:dyDescent="0.3">
      <c r="A39" s="5"/>
      <c r="B39" s="20"/>
      <c r="C39" s="20"/>
      <c r="D39" s="34"/>
      <c r="E39" s="20"/>
      <c r="F39" s="32"/>
      <c r="G39" s="20"/>
      <c r="H39" s="63"/>
      <c r="I39" s="20"/>
      <c r="J39" s="20"/>
      <c r="K39" s="20"/>
      <c r="L39" s="20"/>
      <c r="M39" s="20"/>
      <c r="N39" s="61"/>
    </row>
    <row r="40" spans="1:14" ht="12.75" customHeight="1" x14ac:dyDescent="0.3">
      <c r="A40" s="5"/>
      <c r="B40" s="20"/>
      <c r="C40" s="243" t="s">
        <v>365</v>
      </c>
      <c r="D40" s="34">
        <f>SUM(D13,D22,D30,D38)</f>
        <v>29365.315999999999</v>
      </c>
      <c r="E40" s="20"/>
      <c r="F40" s="32">
        <f>SUM(F13,F22,F30,F38)</f>
        <v>25437.056316473223</v>
      </c>
      <c r="G40" s="20"/>
      <c r="H40" s="63">
        <f>IF(D40&lt;&gt;0,F40/D40,0)</f>
        <v>0.86622791038493252</v>
      </c>
      <c r="I40" s="20"/>
      <c r="J40" s="20"/>
      <c r="K40" s="20"/>
      <c r="L40" s="32">
        <f>SUM(L13,L22,L30,L38)</f>
        <v>34462.330591852289</v>
      </c>
      <c r="M40" s="20"/>
      <c r="N40" s="61">
        <f>IF(D40&lt;&gt;0,L40/D40,0)</f>
        <v>1.1735726117114589</v>
      </c>
    </row>
    <row r="41" spans="1:14" ht="12.75" customHeight="1" x14ac:dyDescent="0.3">
      <c r="A41" s="5"/>
      <c r="B41" s="20"/>
      <c r="C41" s="243"/>
      <c r="D41" s="34"/>
      <c r="E41" s="20"/>
      <c r="F41" s="32"/>
      <c r="G41" s="20"/>
      <c r="H41" s="63"/>
      <c r="I41" s="20"/>
      <c r="J41" s="20"/>
      <c r="K41" s="20"/>
      <c r="L41" s="32"/>
      <c r="M41" s="20"/>
      <c r="N41" s="61"/>
    </row>
    <row r="42" spans="1:14" ht="15.75" customHeight="1" x14ac:dyDescent="0.35">
      <c r="A42" s="117" t="s">
        <v>89</v>
      </c>
      <c r="B42" s="20"/>
      <c r="C42" s="243"/>
      <c r="D42" s="34"/>
      <c r="E42" s="20"/>
      <c r="F42" s="32"/>
      <c r="G42" s="20"/>
      <c r="H42" s="63"/>
      <c r="I42" s="20"/>
      <c r="J42" s="20"/>
      <c r="K42" s="20"/>
      <c r="L42" s="32"/>
      <c r="M42" s="20"/>
      <c r="N42" s="61"/>
    </row>
    <row r="43" spans="1:14" ht="15.75" customHeight="1" x14ac:dyDescent="0.35">
      <c r="A43" s="117" t="s">
        <v>787</v>
      </c>
      <c r="B43" s="20"/>
      <c r="C43" s="243"/>
      <c r="D43" s="34"/>
      <c r="E43" s="20"/>
      <c r="F43" s="32"/>
      <c r="G43" s="20"/>
      <c r="H43" s="63"/>
      <c r="I43" s="20"/>
      <c r="J43" s="20"/>
      <c r="K43" s="20"/>
      <c r="L43" s="32"/>
      <c r="M43" s="20"/>
      <c r="N43" s="61"/>
    </row>
    <row r="44" spans="1:14" ht="5.15" customHeight="1" x14ac:dyDescent="0.3">
      <c r="A44" s="5"/>
      <c r="B44" s="20"/>
      <c r="C44" s="243"/>
      <c r="D44" s="34"/>
      <c r="E44" s="20"/>
      <c r="F44" s="32"/>
      <c r="G44" s="20"/>
      <c r="H44" s="63"/>
      <c r="I44" s="20"/>
      <c r="J44" s="20"/>
      <c r="K44" s="20"/>
      <c r="L44" s="32"/>
      <c r="M44" s="20"/>
      <c r="N44" s="61"/>
    </row>
    <row r="45" spans="1:14" ht="12.75" customHeight="1" x14ac:dyDescent="0.3">
      <c r="A45" s="16" t="s">
        <v>366</v>
      </c>
      <c r="B45" s="20"/>
      <c r="C45" s="243"/>
      <c r="D45" s="34"/>
      <c r="E45" s="20"/>
      <c r="F45" s="32"/>
      <c r="G45" s="20"/>
      <c r="H45" s="63"/>
      <c r="I45" s="20"/>
      <c r="J45" s="20"/>
      <c r="K45" s="20"/>
      <c r="L45" s="32"/>
      <c r="M45" s="20"/>
      <c r="N45" s="61"/>
    </row>
    <row r="46" spans="1:14" ht="25.5" customHeight="1" x14ac:dyDescent="0.25">
      <c r="A46" s="326" t="s">
        <v>356</v>
      </c>
      <c r="B46" s="326" t="s">
        <v>357</v>
      </c>
      <c r="C46" s="327" t="s">
        <v>364</v>
      </c>
      <c r="D46" s="119" t="s">
        <v>370</v>
      </c>
      <c r="E46" s="20"/>
      <c r="F46" s="138" t="s">
        <v>249</v>
      </c>
      <c r="G46" s="119"/>
      <c r="H46" s="135" t="s">
        <v>337</v>
      </c>
      <c r="I46" s="118"/>
      <c r="J46" s="119" t="s">
        <v>246</v>
      </c>
      <c r="K46" s="118"/>
      <c r="L46" s="119" t="s">
        <v>218</v>
      </c>
      <c r="M46" s="118"/>
      <c r="N46" s="119" t="s">
        <v>338</v>
      </c>
    </row>
    <row r="47" spans="1:14" ht="12.75" customHeight="1" x14ac:dyDescent="0.25">
      <c r="A47" t="s">
        <v>367</v>
      </c>
      <c r="B47" t="s">
        <v>138</v>
      </c>
      <c r="C47" s="11" t="s">
        <v>361</v>
      </c>
      <c r="D47" s="34">
        <v>10270.209893151463</v>
      </c>
      <c r="E47" s="20"/>
      <c r="F47" s="36">
        <v>5782.4959485654026</v>
      </c>
      <c r="G47" s="20"/>
      <c r="H47" s="63">
        <f t="shared" ref="H47:H55" si="12">IF(D47&lt;&gt;0,F47/D47,0)</f>
        <v>0.56303581024389526</v>
      </c>
      <c r="I47" s="20"/>
      <c r="J47" s="39">
        <v>1.3146614554631439</v>
      </c>
      <c r="K47" s="20"/>
      <c r="L47" s="36">
        <f t="shared" ref="L47:L54" si="13">F47*J47</f>
        <v>7602.0245399507257</v>
      </c>
      <c r="M47" s="20"/>
      <c r="N47" s="61">
        <f t="shared" ref="N47:N55" si="14">IF(D47&lt;&gt;0,L47/D47,0)</f>
        <v>0.74020147777310985</v>
      </c>
    </row>
    <row r="48" spans="1:14" ht="12.75" customHeight="1" x14ac:dyDescent="0.25">
      <c r="A48"/>
      <c r="B48" s="12" t="s">
        <v>371</v>
      </c>
      <c r="C48" s="12" t="s">
        <v>372</v>
      </c>
      <c r="D48" s="34">
        <v>10270.209893151463</v>
      </c>
      <c r="E48" s="20"/>
      <c r="F48" s="36">
        <v>472.54196577145746</v>
      </c>
      <c r="G48" s="20"/>
      <c r="H48" s="63">
        <f t="shared" si="12"/>
        <v>4.601093557849923E-2</v>
      </c>
      <c r="I48" s="20"/>
      <c r="J48" s="39">
        <v>1.7351466784479892</v>
      </c>
      <c r="K48" s="20"/>
      <c r="L48" s="36">
        <f t="shared" si="13"/>
        <v>819.92962233562776</v>
      </c>
      <c r="M48" s="20"/>
      <c r="N48" s="61">
        <f t="shared" si="14"/>
        <v>7.983572204131735E-2</v>
      </c>
    </row>
    <row r="49" spans="1:14" ht="12.75" customHeight="1" x14ac:dyDescent="0.25">
      <c r="A49"/>
      <c r="B49" s="11" t="s">
        <v>319</v>
      </c>
      <c r="C49" s="11" t="s">
        <v>377</v>
      </c>
      <c r="D49" s="34">
        <v>10270.209893151463</v>
      </c>
      <c r="E49" s="20"/>
      <c r="F49" s="36">
        <v>202.74289276727757</v>
      </c>
      <c r="G49" s="20"/>
      <c r="H49" s="63">
        <f t="shared" si="12"/>
        <v>1.9740871401515724E-2</v>
      </c>
      <c r="I49" s="20"/>
      <c r="J49" s="39">
        <v>1.7351466784479892</v>
      </c>
      <c r="K49" s="20"/>
      <c r="L49" s="36">
        <f t="shared" si="13"/>
        <v>351.78865696407854</v>
      </c>
      <c r="M49" s="20"/>
      <c r="N49" s="61">
        <f t="shared" si="14"/>
        <v>3.4253307442008912E-2</v>
      </c>
    </row>
    <row r="50" spans="1:14" ht="12.75" customHeight="1" x14ac:dyDescent="0.25">
      <c r="A50"/>
      <c r="B50" s="11"/>
      <c r="C50" s="11" t="s">
        <v>378</v>
      </c>
      <c r="D50" s="34">
        <v>10270.209893151463</v>
      </c>
      <c r="E50" s="20"/>
      <c r="F50" s="36">
        <v>684.25726308956189</v>
      </c>
      <c r="G50" s="20"/>
      <c r="H50" s="63">
        <f t="shared" si="12"/>
        <v>6.662544098011558E-2</v>
      </c>
      <c r="I50" s="20"/>
      <c r="J50" s="39">
        <v>1.7351466784479892</v>
      </c>
      <c r="K50" s="20"/>
      <c r="L50" s="36">
        <f t="shared" si="13"/>
        <v>1187.2867172537651</v>
      </c>
      <c r="M50" s="20"/>
      <c r="N50" s="61">
        <f t="shared" si="14"/>
        <v>0.11560491261678008</v>
      </c>
    </row>
    <row r="51" spans="1:14" ht="12.75" customHeight="1" x14ac:dyDescent="0.25">
      <c r="A51"/>
      <c r="B51" s="11"/>
      <c r="C51" s="11" t="s">
        <v>379</v>
      </c>
      <c r="D51" s="34">
        <v>44.394368585197796</v>
      </c>
      <c r="E51" s="20"/>
      <c r="F51" s="36">
        <v>22.022630223749207</v>
      </c>
      <c r="G51" s="20"/>
      <c r="H51" s="63">
        <f t="shared" si="12"/>
        <v>0.49606810335606638</v>
      </c>
      <c r="I51" s="20"/>
      <c r="J51" s="39">
        <v>1.7351466784479892</v>
      </c>
      <c r="K51" s="20"/>
      <c r="L51" s="36">
        <f t="shared" si="13"/>
        <v>38.212493683426736</v>
      </c>
      <c r="M51" s="20"/>
      <c r="N51" s="61">
        <f t="shared" si="14"/>
        <v>0.86075092182227242</v>
      </c>
    </row>
    <row r="52" spans="1:14" ht="12.75" customHeight="1" x14ac:dyDescent="0.25">
      <c r="A52"/>
      <c r="B52" s="12" t="s">
        <v>371</v>
      </c>
      <c r="C52" s="12" t="s">
        <v>372</v>
      </c>
      <c r="D52" s="34">
        <v>10270.209893151463</v>
      </c>
      <c r="E52" s="20"/>
      <c r="F52" s="36">
        <v>33.752997555104109</v>
      </c>
      <c r="G52" s="20"/>
      <c r="H52" s="63">
        <f t="shared" si="12"/>
        <v>3.2864953984642316E-3</v>
      </c>
      <c r="I52" s="20"/>
      <c r="J52" s="39">
        <v>1.7351466784479892</v>
      </c>
      <c r="K52" s="20"/>
      <c r="L52" s="36">
        <f t="shared" si="13"/>
        <v>58.566401595401992</v>
      </c>
      <c r="M52" s="20"/>
      <c r="N52" s="61">
        <f t="shared" si="14"/>
        <v>5.7025515743798112E-3</v>
      </c>
    </row>
    <row r="53" spans="1:14" ht="12.75" customHeight="1" x14ac:dyDescent="0.25">
      <c r="A53"/>
      <c r="B53" t="s">
        <v>138</v>
      </c>
      <c r="C53" s="11" t="s">
        <v>380</v>
      </c>
      <c r="D53" s="34">
        <v>10270.209893151463</v>
      </c>
      <c r="E53" s="20"/>
      <c r="F53" s="36">
        <v>7228.1199357067535</v>
      </c>
      <c r="G53" s="20"/>
      <c r="H53" s="63">
        <f t="shared" si="12"/>
        <v>0.70379476280486908</v>
      </c>
      <c r="I53" s="20"/>
      <c r="J53" s="39">
        <v>1.3146614554631439</v>
      </c>
      <c r="K53" s="20"/>
      <c r="L53" s="36">
        <f t="shared" si="13"/>
        <v>9502.5306749384072</v>
      </c>
      <c r="M53" s="20"/>
      <c r="N53" s="61">
        <f t="shared" si="14"/>
        <v>0.92525184721638731</v>
      </c>
    </row>
    <row r="54" spans="1:14" ht="12.75" customHeight="1" x14ac:dyDescent="0.25">
      <c r="A54" s="204"/>
      <c r="B54" s="204" t="s">
        <v>138</v>
      </c>
      <c r="C54" s="238" t="s">
        <v>182</v>
      </c>
      <c r="D54" s="328">
        <v>733.58642093939022</v>
      </c>
      <c r="E54" s="329"/>
      <c r="F54" s="332">
        <v>70.035975499473196</v>
      </c>
      <c r="G54" s="329"/>
      <c r="H54" s="330">
        <f t="shared" si="12"/>
        <v>9.5470654172945285E-2</v>
      </c>
      <c r="I54" s="329"/>
      <c r="J54" s="331">
        <v>1.5638897968218963</v>
      </c>
      <c r="K54" s="329"/>
      <c r="L54" s="332">
        <f t="shared" si="13"/>
        <v>109.52854749409444</v>
      </c>
      <c r="M54" s="329"/>
      <c r="N54" s="129">
        <f t="shared" si="14"/>
        <v>0.14930558195698093</v>
      </c>
    </row>
    <row r="55" spans="1:14" ht="12.75" customHeight="1" x14ac:dyDescent="0.25">
      <c r="A55"/>
      <c r="B55"/>
      <c r="C55"/>
      <c r="D55" s="34">
        <v>10270.209893151463</v>
      </c>
      <c r="E55" s="20"/>
      <c r="F55" s="32">
        <f>SUM(F47:F54)</f>
        <v>14495.969609178779</v>
      </c>
      <c r="G55" s="20"/>
      <c r="H55" s="63">
        <f t="shared" si="12"/>
        <v>1.4114579701866854</v>
      </c>
      <c r="I55" s="20"/>
      <c r="J55" s="20"/>
      <c r="K55" s="20"/>
      <c r="L55" s="32">
        <f>SUM(L47:L54)</f>
        <v>19669.867654215526</v>
      </c>
      <c r="M55" s="20"/>
      <c r="N55" s="61">
        <f t="shared" si="14"/>
        <v>1.9152352151373349</v>
      </c>
    </row>
    <row r="56" spans="1:14" ht="12.75" customHeight="1" x14ac:dyDescent="0.25">
      <c r="A56"/>
      <c r="B56"/>
      <c r="C56"/>
      <c r="D56" s="34"/>
      <c r="E56" s="20"/>
      <c r="F56" s="32"/>
      <c r="G56" s="20"/>
      <c r="H56" s="63"/>
      <c r="I56" s="20"/>
      <c r="J56" s="20"/>
      <c r="K56" s="20"/>
      <c r="L56" s="32"/>
      <c r="M56" s="20"/>
      <c r="N56" s="61"/>
    </row>
    <row r="57" spans="1:14" ht="12.75" customHeight="1" x14ac:dyDescent="0.25">
      <c r="A57" s="11" t="s">
        <v>368</v>
      </c>
      <c r="B57" t="s">
        <v>138</v>
      </c>
      <c r="C57" s="11" t="s">
        <v>361</v>
      </c>
      <c r="D57" s="34">
        <v>1019.5875950410569</v>
      </c>
      <c r="E57" s="20"/>
      <c r="F57" s="36">
        <v>574.0643276885661</v>
      </c>
      <c r="G57" s="20"/>
      <c r="H57" s="63">
        <f t="shared" ref="H57:H65" si="15">IF(D57&lt;&gt;0,F57/D57,0)</f>
        <v>0.56303581024389526</v>
      </c>
      <c r="I57" s="20"/>
      <c r="J57" s="39">
        <v>1.3146614554631439</v>
      </c>
      <c r="K57" s="20"/>
      <c r="L57" s="36">
        <f t="shared" ref="L57:L64" si="16">F57*J57</f>
        <v>754.7002445685215</v>
      </c>
      <c r="M57" s="20"/>
      <c r="N57" s="61">
        <f t="shared" ref="N57:N65" si="17">IF(D57&lt;&gt;0,L57/D57,0)</f>
        <v>0.74020147777310996</v>
      </c>
    </row>
    <row r="58" spans="1:14" ht="12.75" customHeight="1" x14ac:dyDescent="0.25">
      <c r="A58" s="11"/>
      <c r="B58" s="12" t="s">
        <v>371</v>
      </c>
      <c r="C58" s="12" t="s">
        <v>372</v>
      </c>
      <c r="D58" s="34">
        <v>1019.5875950410569</v>
      </c>
      <c r="E58" s="20"/>
      <c r="F58" s="36">
        <v>46.91217915207104</v>
      </c>
      <c r="G58" s="20"/>
      <c r="H58" s="63">
        <f t="shared" si="15"/>
        <v>4.6010935578499237E-2</v>
      </c>
      <c r="I58" s="20"/>
      <c r="J58" s="39">
        <v>1.7351466784479892</v>
      </c>
      <c r="K58" s="20"/>
      <c r="L58" s="36">
        <f t="shared" si="16"/>
        <v>81.399511834473074</v>
      </c>
      <c r="M58" s="20"/>
      <c r="N58" s="61">
        <f t="shared" si="17"/>
        <v>7.9835722041317364E-2</v>
      </c>
    </row>
    <row r="59" spans="1:14" ht="12.75" customHeight="1" x14ac:dyDescent="0.25">
      <c r="A59"/>
      <c r="B59" s="11" t="s">
        <v>319</v>
      </c>
      <c r="C59" s="11" t="s">
        <v>377</v>
      </c>
      <c r="D59" s="34">
        <v>1019.5875950410569</v>
      </c>
      <c r="E59" s="20"/>
      <c r="F59" s="36">
        <v>20.127547596286195</v>
      </c>
      <c r="G59" s="20"/>
      <c r="H59" s="63">
        <f t="shared" si="15"/>
        <v>1.9740871401515724E-2</v>
      </c>
      <c r="I59" s="20"/>
      <c r="J59" s="39">
        <v>1.7351466784479892</v>
      </c>
      <c r="K59" s="20"/>
      <c r="L59" s="36">
        <f t="shared" si="16"/>
        <v>34.9242473569998</v>
      </c>
      <c r="M59" s="20"/>
      <c r="N59" s="61">
        <f t="shared" si="17"/>
        <v>3.4253307442008905E-2</v>
      </c>
    </row>
    <row r="60" spans="1:14" ht="12.75" customHeight="1" x14ac:dyDescent="0.25">
      <c r="A60"/>
      <c r="B60" s="11"/>
      <c r="C60" s="11" t="s">
        <v>378</v>
      </c>
      <c r="D60" s="34">
        <v>1019.5875950410569</v>
      </c>
      <c r="E60" s="20"/>
      <c r="F60" s="36">
        <v>67.93047313746591</v>
      </c>
      <c r="G60" s="20"/>
      <c r="H60" s="63">
        <f t="shared" si="15"/>
        <v>6.6625440980115566E-2</v>
      </c>
      <c r="I60" s="20"/>
      <c r="J60" s="39">
        <v>1.7351466784479892</v>
      </c>
      <c r="K60" s="20"/>
      <c r="L60" s="36">
        <f t="shared" si="16"/>
        <v>117.86933482987433</v>
      </c>
      <c r="M60" s="20"/>
      <c r="N60" s="61">
        <f t="shared" si="17"/>
        <v>0.11560491261678008</v>
      </c>
    </row>
    <row r="61" spans="1:14" ht="12.75" customHeight="1" x14ac:dyDescent="0.25">
      <c r="A61"/>
      <c r="B61" s="11"/>
      <c r="C61" s="11" t="s">
        <v>379</v>
      </c>
      <c r="D61" s="34">
        <v>4.4073050083749177</v>
      </c>
      <c r="E61" s="20"/>
      <c r="F61" s="36">
        <v>2.1863234364162372</v>
      </c>
      <c r="G61" s="20"/>
      <c r="H61" s="63">
        <f t="shared" si="15"/>
        <v>0.49606810335606627</v>
      </c>
      <c r="I61" s="20"/>
      <c r="J61" s="39">
        <v>1.7351466784479892</v>
      </c>
      <c r="K61" s="20"/>
      <c r="L61" s="36">
        <f t="shared" si="16"/>
        <v>3.7935918487106273</v>
      </c>
      <c r="M61" s="20"/>
      <c r="N61" s="61">
        <f t="shared" si="17"/>
        <v>0.8607509218222722</v>
      </c>
    </row>
    <row r="62" spans="1:14" ht="12.75" customHeight="1" x14ac:dyDescent="0.25">
      <c r="A62"/>
      <c r="B62" s="12" t="s">
        <v>371</v>
      </c>
      <c r="C62" s="12" t="s">
        <v>372</v>
      </c>
      <c r="D62" s="34">
        <v>1019.5875950410569</v>
      </c>
      <c r="E62" s="20"/>
      <c r="F62" s="36">
        <v>3.3508699394336463</v>
      </c>
      <c r="G62" s="20"/>
      <c r="H62" s="63">
        <f t="shared" si="15"/>
        <v>3.2864953984642321E-3</v>
      </c>
      <c r="I62" s="20"/>
      <c r="J62" s="39">
        <v>1.7351466784479892</v>
      </c>
      <c r="K62" s="20"/>
      <c r="L62" s="36">
        <f t="shared" si="16"/>
        <v>5.8142508453195063</v>
      </c>
      <c r="M62" s="20"/>
      <c r="N62" s="61">
        <f t="shared" si="17"/>
        <v>5.702551574379813E-3</v>
      </c>
    </row>
    <row r="63" spans="1:14" ht="12.75" customHeight="1" x14ac:dyDescent="0.25">
      <c r="A63"/>
      <c r="B63" t="s">
        <v>138</v>
      </c>
      <c r="C63" s="11" t="s">
        <v>380</v>
      </c>
      <c r="D63" s="34">
        <v>1019.5875950410569</v>
      </c>
      <c r="E63" s="20"/>
      <c r="F63" s="36">
        <v>717.58040961070753</v>
      </c>
      <c r="G63" s="20"/>
      <c r="H63" s="63">
        <f t="shared" si="15"/>
        <v>0.70379476280486908</v>
      </c>
      <c r="I63" s="20"/>
      <c r="J63" s="39">
        <v>1.3146614554631439</v>
      </c>
      <c r="K63" s="20"/>
      <c r="L63" s="36">
        <f t="shared" si="16"/>
        <v>943.37530571065179</v>
      </c>
      <c r="M63" s="20"/>
      <c r="N63" s="61">
        <f t="shared" si="17"/>
        <v>0.92525184721638731</v>
      </c>
    </row>
    <row r="64" spans="1:14" ht="12.75" customHeight="1" x14ac:dyDescent="0.25">
      <c r="A64" s="204"/>
      <c r="B64" s="204" t="s">
        <v>138</v>
      </c>
      <c r="C64" s="238" t="s">
        <v>182</v>
      </c>
      <c r="D64" s="328">
        <v>72.827685360075492</v>
      </c>
      <c r="E64" s="329"/>
      <c r="F64" s="332">
        <v>6.9529067632278378</v>
      </c>
      <c r="G64" s="329"/>
      <c r="H64" s="330">
        <f t="shared" si="15"/>
        <v>9.5470654172945285E-2</v>
      </c>
      <c r="I64" s="329"/>
      <c r="J64" s="331">
        <v>1.5638897968218963</v>
      </c>
      <c r="K64" s="329"/>
      <c r="L64" s="332">
        <f t="shared" si="16"/>
        <v>10.873579945265972</v>
      </c>
      <c r="M64" s="329"/>
      <c r="N64" s="129">
        <f t="shared" si="17"/>
        <v>0.14930558195698093</v>
      </c>
    </row>
    <row r="65" spans="1:14" ht="12.75" customHeight="1" x14ac:dyDescent="0.3">
      <c r="A65" s="5"/>
      <c r="B65" s="20"/>
      <c r="C65" s="243"/>
      <c r="D65" s="34">
        <v>1019.5875950410569</v>
      </c>
      <c r="E65" s="20"/>
      <c r="F65" s="32">
        <f>SUM(F57:F64)</f>
        <v>1439.1050373241746</v>
      </c>
      <c r="G65" s="20"/>
      <c r="H65" s="63">
        <f t="shared" si="15"/>
        <v>1.4114579701866856</v>
      </c>
      <c r="I65" s="20"/>
      <c r="J65" s="20"/>
      <c r="K65" s="20"/>
      <c r="L65" s="32">
        <f>SUM(L57:L64)</f>
        <v>1952.7500669398166</v>
      </c>
      <c r="M65" s="20"/>
      <c r="N65" s="61">
        <f t="shared" si="17"/>
        <v>1.9152352151373349</v>
      </c>
    </row>
    <row r="66" spans="1:14" ht="5.15" customHeight="1" x14ac:dyDescent="0.3">
      <c r="A66" s="5"/>
      <c r="B66" s="20"/>
      <c r="C66" s="20"/>
      <c r="D66" s="20"/>
      <c r="E66" s="20"/>
      <c r="F66" s="20"/>
      <c r="G66" s="20"/>
      <c r="H66" s="20"/>
      <c r="I66" s="20"/>
      <c r="J66" s="20"/>
      <c r="K66" s="20"/>
      <c r="L66" s="20"/>
      <c r="M66" s="20"/>
      <c r="N66" s="61"/>
    </row>
    <row r="67" spans="1:14" ht="12.75" customHeight="1" x14ac:dyDescent="0.3">
      <c r="A67" s="5"/>
      <c r="B67" s="20"/>
      <c r="C67" s="20" t="s">
        <v>369</v>
      </c>
      <c r="D67" s="34">
        <f>SUM(D55,D65)</f>
        <v>11289.79748819252</v>
      </c>
      <c r="E67" s="20"/>
      <c r="F67" s="36">
        <f>SUM(F55,F65)</f>
        <v>15935.074646502953</v>
      </c>
      <c r="G67" s="20"/>
      <c r="H67" s="63">
        <f>IF(D67&lt;&gt;0,F67/D67,0)</f>
        <v>1.4114579701866854</v>
      </c>
      <c r="I67" s="20"/>
      <c r="J67" s="20"/>
      <c r="K67" s="20"/>
      <c r="L67" s="36">
        <f>SUM(L55,L65)</f>
        <v>21622.617721155344</v>
      </c>
      <c r="M67" s="20"/>
      <c r="N67" s="61">
        <f>IF(D67&lt;&gt;0,L67/D67,0)</f>
        <v>1.9152352151373349</v>
      </c>
    </row>
    <row r="68" spans="1:14" ht="12.75" customHeight="1" x14ac:dyDescent="0.3">
      <c r="A68" s="5"/>
      <c r="B68" s="20"/>
      <c r="C68" s="20"/>
      <c r="D68" s="34"/>
      <c r="E68" s="20"/>
      <c r="F68" s="36"/>
      <c r="G68" s="20"/>
      <c r="H68" s="63"/>
      <c r="I68" s="20"/>
      <c r="J68" s="20"/>
      <c r="K68" s="20"/>
      <c r="L68" s="36"/>
      <c r="M68" s="20"/>
      <c r="N68" s="61"/>
    </row>
    <row r="69" spans="1:14" ht="15.75" customHeight="1" x14ac:dyDescent="0.35">
      <c r="A69" s="117" t="s">
        <v>90</v>
      </c>
      <c r="B69" s="20"/>
      <c r="C69" s="20"/>
      <c r="D69" s="34"/>
      <c r="E69" s="20"/>
      <c r="F69" s="36"/>
      <c r="G69" s="20"/>
      <c r="H69" s="63"/>
      <c r="I69" s="20"/>
      <c r="J69" s="20"/>
      <c r="K69" s="20"/>
      <c r="L69" s="36"/>
      <c r="M69" s="20"/>
      <c r="N69" s="61"/>
    </row>
    <row r="70" spans="1:14" ht="15.75" customHeight="1" x14ac:dyDescent="0.35">
      <c r="A70" s="117" t="s">
        <v>787</v>
      </c>
      <c r="B70" s="20"/>
      <c r="C70" s="20"/>
      <c r="D70" s="34"/>
      <c r="E70" s="20"/>
      <c r="F70" s="36"/>
      <c r="G70" s="20"/>
      <c r="H70" s="63"/>
      <c r="I70" s="20"/>
      <c r="J70" s="20"/>
      <c r="K70" s="20"/>
      <c r="L70" s="36"/>
      <c r="M70" s="20"/>
      <c r="N70" s="61"/>
    </row>
    <row r="71" spans="1:14" ht="5.15" customHeight="1" x14ac:dyDescent="0.3">
      <c r="A71" s="5"/>
      <c r="B71" s="20"/>
      <c r="C71" s="20"/>
      <c r="D71" s="20"/>
      <c r="E71" s="20"/>
      <c r="F71" s="20"/>
      <c r="G71" s="20"/>
      <c r="H71" s="20"/>
      <c r="I71" s="20"/>
      <c r="J71" s="20"/>
      <c r="K71" s="20"/>
      <c r="L71" s="20"/>
      <c r="M71" s="20"/>
      <c r="N71" s="61"/>
    </row>
    <row r="72" spans="1:14" ht="12.75" customHeight="1" x14ac:dyDescent="0.3">
      <c r="A72" s="14" t="s">
        <v>536</v>
      </c>
      <c r="B72" s="20"/>
      <c r="C72" s="243"/>
      <c r="D72" s="34"/>
      <c r="E72" s="20"/>
      <c r="F72" s="32"/>
      <c r="G72" s="20"/>
      <c r="H72" s="63"/>
      <c r="I72" s="20"/>
      <c r="J72" s="20"/>
      <c r="K72" s="20"/>
      <c r="L72" s="32"/>
      <c r="M72" s="20"/>
      <c r="N72" s="61"/>
    </row>
    <row r="73" spans="1:14" ht="25.5" customHeight="1" x14ac:dyDescent="0.25">
      <c r="A73" s="326" t="s">
        <v>356</v>
      </c>
      <c r="B73" s="326" t="s">
        <v>357</v>
      </c>
      <c r="C73" s="327" t="s">
        <v>364</v>
      </c>
      <c r="D73" s="119" t="s">
        <v>370</v>
      </c>
      <c r="E73" s="20"/>
      <c r="F73" s="138" t="s">
        <v>249</v>
      </c>
      <c r="G73" s="119"/>
      <c r="H73" s="135" t="s">
        <v>337</v>
      </c>
      <c r="I73" s="118"/>
      <c r="J73" s="119" t="s">
        <v>246</v>
      </c>
      <c r="K73" s="118"/>
      <c r="L73" s="119" t="s">
        <v>218</v>
      </c>
      <c r="M73" s="118"/>
      <c r="N73" s="119" t="s">
        <v>338</v>
      </c>
    </row>
    <row r="74" spans="1:14" ht="12.75" customHeight="1" x14ac:dyDescent="0.25">
      <c r="A74" s="4" t="s">
        <v>425</v>
      </c>
      <c r="B74" s="2" t="s">
        <v>530</v>
      </c>
      <c r="C74" s="4" t="s">
        <v>535</v>
      </c>
      <c r="D74" s="34">
        <f>'Table 3.26-REC Detail NonACS'!E43</f>
        <v>29365.315999999999</v>
      </c>
      <c r="E74" s="17" t="s">
        <v>239</v>
      </c>
      <c r="F74" s="36">
        <f>'Table 3.26-REC Detail NonACS'!F43</f>
        <v>11531.053561566885</v>
      </c>
      <c r="G74" s="17" t="s">
        <v>239</v>
      </c>
      <c r="H74" s="63">
        <f>IF(D74&lt;&gt;0,F74/D74,0)</f>
        <v>0.39267595695434998</v>
      </c>
      <c r="I74" s="20"/>
      <c r="J74" s="56">
        <f>'Table 3.26-REC Detail NonACS'!I43</f>
        <v>1.3614602604109014</v>
      </c>
      <c r="K74" s="20"/>
      <c r="L74" s="36">
        <f>F74*J74</f>
        <v>15699.071184742903</v>
      </c>
      <c r="M74" s="20"/>
      <c r="N74" s="61">
        <f>IF(D74&lt;&gt;0,L74/D74,0)</f>
        <v>0.53461271061216931</v>
      </c>
    </row>
    <row r="75" spans="1:14" ht="12.75" customHeight="1" x14ac:dyDescent="0.25">
      <c r="A75" s="4" t="s">
        <v>426</v>
      </c>
      <c r="B75" s="2" t="s">
        <v>530</v>
      </c>
      <c r="C75" s="4" t="s">
        <v>535</v>
      </c>
      <c r="D75" s="34">
        <f>'Table 3.26-REC Detail NonACS'!E44</f>
        <v>11289.797488192518</v>
      </c>
      <c r="E75" s="17" t="s">
        <v>239</v>
      </c>
      <c r="F75" s="36">
        <f>'Table 3.26-REC Detail NonACS'!F44</f>
        <v>4433.232032496815</v>
      </c>
      <c r="G75" s="17" t="s">
        <v>239</v>
      </c>
      <c r="H75" s="63">
        <f>IF(D75&lt;&gt;0,F75/D75,0)</f>
        <v>0.39267595695435009</v>
      </c>
      <c r="I75" s="20"/>
      <c r="J75" s="56">
        <f>'Table 3.26-REC Detail NonACS'!I44</f>
        <v>1.3614602604109014</v>
      </c>
      <c r="K75" s="20"/>
      <c r="L75" s="36">
        <f>F75*J75</f>
        <v>6035.6692374250633</v>
      </c>
      <c r="M75" s="20"/>
      <c r="N75" s="61">
        <f>IF(D75&lt;&gt;0,L75/D75,0)</f>
        <v>0.53461271061216931</v>
      </c>
    </row>
    <row r="76" spans="1:14" ht="12.75" customHeight="1" x14ac:dyDescent="0.25">
      <c r="B76" s="2"/>
      <c r="D76" s="34"/>
      <c r="E76" s="20"/>
      <c r="F76" s="36"/>
      <c r="G76" s="20"/>
      <c r="H76" s="63"/>
      <c r="I76" s="20"/>
      <c r="J76" s="56"/>
      <c r="K76" s="20"/>
      <c r="L76" s="36"/>
      <c r="M76" s="20"/>
      <c r="N76" s="61"/>
    </row>
    <row r="77" spans="1:14" ht="12.75" customHeight="1" x14ac:dyDescent="0.3">
      <c r="A77" s="5"/>
      <c r="B77" s="20"/>
      <c r="C77" s="243" t="s">
        <v>537</v>
      </c>
      <c r="D77" s="34">
        <f>D74</f>
        <v>29365.315999999999</v>
      </c>
      <c r="E77" s="20"/>
      <c r="F77" s="36">
        <f>SUM(F74:F75)</f>
        <v>15964.2855940637</v>
      </c>
      <c r="G77" s="20"/>
      <c r="H77" s="63"/>
      <c r="I77" s="20"/>
      <c r="J77" s="20"/>
      <c r="K77" s="20"/>
      <c r="L77" s="36">
        <f>SUM(L74:L75)</f>
        <v>21734.740422167968</v>
      </c>
      <c r="M77" s="20"/>
      <c r="N77" s="61">
        <f>IF(D77&lt;&gt;0,L77/D77,0)</f>
        <v>0.74015006077809509</v>
      </c>
    </row>
    <row r="78" spans="1:14" ht="12.75" customHeight="1" x14ac:dyDescent="0.3">
      <c r="A78" s="5"/>
      <c r="B78" s="20"/>
      <c r="C78" s="20"/>
      <c r="D78" s="20"/>
      <c r="E78" s="20"/>
      <c r="F78" s="20"/>
      <c r="G78" s="20"/>
      <c r="H78" s="20"/>
      <c r="I78" s="20"/>
      <c r="J78" s="20"/>
      <c r="K78" s="20"/>
      <c r="L78" s="20"/>
      <c r="M78" s="20"/>
      <c r="N78" s="61"/>
    </row>
    <row r="79" spans="1:14" ht="12.75" customHeight="1" x14ac:dyDescent="0.3">
      <c r="A79" s="5"/>
      <c r="B79" s="20"/>
      <c r="C79" s="5" t="s">
        <v>269</v>
      </c>
      <c r="D79" s="34">
        <f>D40</f>
        <v>29365.315999999999</v>
      </c>
      <c r="E79" s="20"/>
      <c r="F79" s="36">
        <f>SUM(F40,F67,F77)</f>
        <v>57336.416557039876</v>
      </c>
      <c r="G79" s="20"/>
      <c r="H79" s="63">
        <f>IF(D79&lt;&gt;0,F79/D79,0)</f>
        <v>1.9525216945405892</v>
      </c>
      <c r="I79" s="20"/>
      <c r="J79" s="20"/>
      <c r="K79" s="20"/>
      <c r="L79" s="36">
        <f>SUM(L40,L67,L77)</f>
        <v>77819.688735175601</v>
      </c>
      <c r="M79" s="20"/>
      <c r="N79" s="61">
        <f>IF(D79&lt;&gt;0,L79/D79,0)</f>
        <v>2.6500545315151931</v>
      </c>
    </row>
    <row r="80" spans="1:14" ht="13" hidden="1" x14ac:dyDescent="0.3">
      <c r="A80" s="5"/>
      <c r="B80" s="20"/>
      <c r="C80" s="20"/>
      <c r="D80" s="20"/>
      <c r="E80" s="20"/>
      <c r="F80" s="20"/>
      <c r="G80" s="20"/>
      <c r="H80" s="20"/>
      <c r="J80" s="20"/>
      <c r="N80" s="61"/>
    </row>
    <row r="81" spans="1:14" hidden="1" x14ac:dyDescent="0.25">
      <c r="B81" s="254"/>
      <c r="C81" s="93" t="s">
        <v>188</v>
      </c>
      <c r="D81" s="102">
        <v>0</v>
      </c>
      <c r="F81" s="102">
        <v>0</v>
      </c>
      <c r="G81" s="254"/>
      <c r="H81" s="102">
        <v>0</v>
      </c>
      <c r="N81" s="43"/>
    </row>
    <row r="82" spans="1:14" hidden="1" x14ac:dyDescent="0.25">
      <c r="B82" s="254"/>
      <c r="C82" s="93" t="s">
        <v>188</v>
      </c>
      <c r="D82" s="102">
        <v>0</v>
      </c>
      <c r="F82" s="102">
        <v>0</v>
      </c>
      <c r="G82" s="254"/>
      <c r="H82" s="102">
        <v>0</v>
      </c>
      <c r="N82" s="43"/>
    </row>
    <row r="83" spans="1:14" hidden="1" x14ac:dyDescent="0.25">
      <c r="B83" s="254"/>
      <c r="C83" s="93" t="s">
        <v>188</v>
      </c>
      <c r="D83" s="102">
        <v>0</v>
      </c>
      <c r="F83" s="102">
        <v>0</v>
      </c>
      <c r="G83" s="254"/>
      <c r="H83" s="257"/>
      <c r="N83" s="43"/>
    </row>
    <row r="84" spans="1:14" x14ac:dyDescent="0.25">
      <c r="A84" s="103"/>
      <c r="B84" s="103"/>
      <c r="C84" s="103"/>
    </row>
    <row r="85" spans="1:14" x14ac:dyDescent="0.25">
      <c r="A85" s="4" t="s">
        <v>235</v>
      </c>
    </row>
    <row r="86" spans="1:14" x14ac:dyDescent="0.25">
      <c r="A86" s="419" t="s">
        <v>796</v>
      </c>
      <c r="B86"/>
      <c r="C86"/>
      <c r="D86" s="17"/>
      <c r="E86" s="62"/>
    </row>
    <row r="87" spans="1:14" ht="12.75" customHeight="1" x14ac:dyDescent="0.25">
      <c r="A87" s="17" t="s">
        <v>795</v>
      </c>
      <c r="D87" s="17"/>
      <c r="H87" s="57"/>
    </row>
    <row r="88" spans="1:14" ht="12.75" customHeight="1" x14ac:dyDescent="0.25">
      <c r="A88" s="423" t="s">
        <v>94</v>
      </c>
      <c r="B88" s="424"/>
      <c r="C88" s="424"/>
    </row>
    <row r="89" spans="1:14" x14ac:dyDescent="0.25">
      <c r="H89" s="57"/>
    </row>
  </sheetData>
  <mergeCells count="1">
    <mergeCell ref="A88:C88"/>
  </mergeCells>
  <phoneticPr fontId="0" type="noConversion"/>
  <printOptions horizontalCentered="1"/>
  <pageMargins left="0.75" right="0.75" top="1" bottom="1" header="0.5" footer="0.5"/>
  <pageSetup scale="87" fitToHeight="2" orientation="landscape" r:id="rId1"/>
  <headerFooter alignWithMargins="0">
    <oddFooter>&amp;L&amp;F</oddFooter>
  </headerFooter>
  <rowBreaks count="2" manualBreakCount="2">
    <brk id="41" max="13" man="1"/>
    <brk id="68" max="13"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5"/>
  <dimension ref="A1:R124"/>
  <sheetViews>
    <sheetView zoomScale="70" zoomScaleNormal="70" workbookViewId="0"/>
  </sheetViews>
  <sheetFormatPr defaultColWidth="9.08984375" defaultRowHeight="12.5" x14ac:dyDescent="0.25"/>
  <cols>
    <col min="1" max="1" width="43.36328125" style="4" customWidth="1"/>
    <col min="2" max="2" width="11.6328125" style="47" customWidth="1"/>
    <col min="3" max="3" width="11.6328125" style="29" customWidth="1"/>
    <col min="4" max="4" width="11.6328125" style="24" customWidth="1"/>
    <col min="5" max="5" width="2.6328125" style="24" customWidth="1"/>
    <col min="6" max="6" width="11.6328125" style="28" customWidth="1"/>
    <col min="7" max="7" width="2.6328125" style="2" customWidth="1"/>
    <col min="8" max="8" width="11.6328125" style="4" customWidth="1"/>
    <col min="9" max="9" width="2.36328125" style="2" customWidth="1"/>
    <col min="10" max="10" width="11.6328125" style="2" customWidth="1"/>
    <col min="11" max="11" width="11.6328125" style="28" customWidth="1"/>
    <col min="12" max="12" width="9.08984375" style="4"/>
    <col min="13" max="13" width="11.6328125" style="4" customWidth="1"/>
    <col min="14" max="14" width="11.08984375" style="4" hidden="1" customWidth="1"/>
    <col min="15" max="18" width="0" style="4" hidden="1" customWidth="1"/>
    <col min="19" max="16384" width="9.08984375" style="4"/>
  </cols>
  <sheetData>
    <row r="1" spans="1:16" ht="15.75" customHeight="1" x14ac:dyDescent="0.35">
      <c r="A1" s="117" t="s">
        <v>62</v>
      </c>
    </row>
    <row r="2" spans="1:16" ht="15.75" customHeight="1" x14ac:dyDescent="0.35">
      <c r="A2" s="117" t="s">
        <v>787</v>
      </c>
    </row>
    <row r="3" spans="1:16" ht="25" x14ac:dyDescent="0.25">
      <c r="B3" s="138" t="s">
        <v>248</v>
      </c>
      <c r="C3" s="107" t="s">
        <v>249</v>
      </c>
      <c r="D3" s="125" t="s">
        <v>250</v>
      </c>
      <c r="E3" s="125"/>
      <c r="F3" s="126" t="s">
        <v>207</v>
      </c>
      <c r="G3" s="118"/>
      <c r="H3" s="119" t="s">
        <v>246</v>
      </c>
      <c r="I3" s="118"/>
      <c r="J3" s="138" t="s">
        <v>110</v>
      </c>
      <c r="K3" s="31" t="s">
        <v>133</v>
      </c>
    </row>
    <row r="4" spans="1:16" ht="13" x14ac:dyDescent="0.3">
      <c r="A4" s="14" t="s">
        <v>283</v>
      </c>
    </row>
    <row r="5" spans="1:16" ht="5.15" customHeight="1" x14ac:dyDescent="0.3">
      <c r="A5" s="16"/>
    </row>
    <row r="6" spans="1:16" x14ac:dyDescent="0.25">
      <c r="A6" s="60" t="s">
        <v>275</v>
      </c>
      <c r="B6" s="42"/>
      <c r="C6" s="36"/>
      <c r="D6" s="30"/>
      <c r="E6" s="30"/>
      <c r="F6" s="31"/>
      <c r="G6" s="33"/>
      <c r="H6" s="39"/>
      <c r="I6" s="49"/>
      <c r="J6" s="49"/>
      <c r="K6" s="31"/>
    </row>
    <row r="7" spans="1:16" x14ac:dyDescent="0.25">
      <c r="A7" s="245" t="s">
        <v>135</v>
      </c>
      <c r="B7" s="34">
        <v>799.70770349438033</v>
      </c>
      <c r="C7" s="36">
        <v>34324.170297811848</v>
      </c>
      <c r="D7" s="34">
        <v>537401.92385437922</v>
      </c>
      <c r="E7" s="34"/>
      <c r="F7" s="61">
        <f>C7/D7</f>
        <v>6.3870575772469199E-2</v>
      </c>
      <c r="G7" s="118"/>
      <c r="H7" s="39">
        <v>1.305475124586952</v>
      </c>
      <c r="I7" s="39"/>
      <c r="J7" s="36">
        <f>C7*H7</f>
        <v>44809.350495879684</v>
      </c>
      <c r="K7" s="61">
        <f>F7*(H7)</f>
        <v>8.3381447864004588E-2</v>
      </c>
      <c r="N7" s="102">
        <f>B7-'Table 3.15-Route UAA NoPARS'!B7-'Table 3.16-Route UAA PARS'!B7</f>
        <v>0</v>
      </c>
      <c r="O7" s="102">
        <f>C7-'Table 3.15-Route UAA NoPARS'!C7-'Table 3.16-Route UAA PARS'!C7</f>
        <v>0</v>
      </c>
      <c r="P7" s="102">
        <f>D7-'Table 3.15-Route UAA NoPARS'!D7-'Table 3.16-Route UAA PARS'!D7</f>
        <v>0</v>
      </c>
    </row>
    <row r="8" spans="1:16" ht="12.75" customHeight="1" x14ac:dyDescent="0.25">
      <c r="A8" s="246" t="s">
        <v>136</v>
      </c>
      <c r="B8" s="34">
        <v>285.02697213323427</v>
      </c>
      <c r="C8" s="36">
        <v>7405.9633385340067</v>
      </c>
      <c r="D8" s="34">
        <v>199841.33754887502</v>
      </c>
      <c r="E8" s="34"/>
      <c r="F8" s="61">
        <f>C8/D8</f>
        <v>3.7059216223083662E-2</v>
      </c>
      <c r="G8" s="118"/>
      <c r="H8" s="39">
        <v>1.2169031925034866</v>
      </c>
      <c r="I8" s="39"/>
      <c r="J8" s="36">
        <f>C8*H8</f>
        <v>9012.3404302258114</v>
      </c>
      <c r="K8" s="61">
        <f>F8*(H8)</f>
        <v>4.5097478533547508E-2</v>
      </c>
      <c r="N8" s="102">
        <f>B8-'Table 3.15-Route UAA NoPARS'!B8-'Table 3.16-Route UAA PARS'!B8</f>
        <v>0</v>
      </c>
      <c r="O8" s="102">
        <f>C8-'Table 3.15-Route UAA NoPARS'!C8-'Table 3.16-Route UAA PARS'!C8</f>
        <v>0</v>
      </c>
      <c r="P8" s="102">
        <f>D8-'Table 3.15-Route UAA NoPARS'!D8-'Table 3.16-Route UAA PARS'!D8</f>
        <v>0</v>
      </c>
    </row>
    <row r="9" spans="1:16" x14ac:dyDescent="0.25">
      <c r="A9" s="245" t="s">
        <v>137</v>
      </c>
      <c r="B9" s="34">
        <v>203.22330237324059</v>
      </c>
      <c r="C9" s="36">
        <v>6560.885785015902</v>
      </c>
      <c r="D9" s="34">
        <v>140723.34993581928</v>
      </c>
      <c r="E9" s="34"/>
      <c r="F9" s="61">
        <f>C9/D9</f>
        <v>4.6622581028721764E-2</v>
      </c>
      <c r="G9" s="118"/>
      <c r="H9" s="39">
        <v>1.5638897968218963</v>
      </c>
      <c r="I9" s="20"/>
      <c r="J9" s="36">
        <f>C9*H9</f>
        <v>10260.502337300186</v>
      </c>
      <c r="K9" s="61">
        <f>F9*(H9)</f>
        <v>7.2912578772320075E-2</v>
      </c>
      <c r="N9" s="102">
        <f>B9-'Table 3.15-Route UAA NoPARS'!B9-'Table 3.16-Route UAA PARS'!B9</f>
        <v>0</v>
      </c>
      <c r="O9" s="102">
        <f>C9-'Table 3.15-Route UAA NoPARS'!C9-'Table 3.16-Route UAA PARS'!C9</f>
        <v>0</v>
      </c>
      <c r="P9" s="102">
        <f>D9-'Table 3.15-Route UAA NoPARS'!D9-'Table 3.16-Route UAA PARS'!D9</f>
        <v>0</v>
      </c>
    </row>
    <row r="10" spans="1:16" x14ac:dyDescent="0.25">
      <c r="A10" s="245" t="s">
        <v>107</v>
      </c>
      <c r="B10" s="34">
        <v>5.6014165508391498</v>
      </c>
      <c r="C10" s="36">
        <v>245.93019366459288</v>
      </c>
      <c r="D10" s="34">
        <v>3915.9252531844904</v>
      </c>
      <c r="E10" s="34"/>
      <c r="F10" s="61">
        <f>C10/D10</f>
        <v>6.280257608711981E-2</v>
      </c>
      <c r="G10" s="118"/>
      <c r="H10" s="39">
        <v>1.2169031925034866</v>
      </c>
      <c r="I10" s="39"/>
      <c r="J10" s="36">
        <f>C10*H10</f>
        <v>299.27323780344381</v>
      </c>
      <c r="K10" s="61">
        <f>F10*(H10)</f>
        <v>7.6424655337859221E-2</v>
      </c>
      <c r="N10" s="102">
        <f>B10-'Table 3.15-Route UAA NoPARS'!B10-'Table 3.16-Route UAA PARS'!B10</f>
        <v>0</v>
      </c>
      <c r="O10" s="102">
        <f>C10-'Table 3.15-Route UAA NoPARS'!C10-'Table 3.16-Route UAA PARS'!C10</f>
        <v>0</v>
      </c>
      <c r="P10" s="102">
        <f>D10-'Table 3.15-Route UAA NoPARS'!D10-'Table 3.16-Route UAA PARS'!D10</f>
        <v>0</v>
      </c>
    </row>
    <row r="11" spans="1:16" x14ac:dyDescent="0.25">
      <c r="A11" s="245" t="s">
        <v>277</v>
      </c>
      <c r="B11" s="34">
        <f>SUM(B7:B10)</f>
        <v>1293.5593945516944</v>
      </c>
      <c r="C11" s="36">
        <f>SUM(C7:C10)</f>
        <v>48536.949615026351</v>
      </c>
      <c r="D11" s="34">
        <f>SUM(D7:D10)</f>
        <v>881882.53659225802</v>
      </c>
      <c r="E11" s="34"/>
      <c r="F11" s="61">
        <f>C11/D11</f>
        <v>5.5037884980216598E-2</v>
      </c>
      <c r="G11" s="118"/>
      <c r="H11" s="39"/>
      <c r="I11" s="39"/>
      <c r="J11" s="36">
        <f>SUM(J7:J10)</f>
        <v>64381.466501209128</v>
      </c>
      <c r="K11" s="61">
        <f>SUMPRODUCT(K7:K10,D7:D10)/D11</f>
        <v>7.3004582617079497E-2</v>
      </c>
      <c r="L11" s="62"/>
      <c r="N11" s="102">
        <f>B11-'Table 3.15-Route UAA NoPARS'!B11-'Table 3.16-Route UAA PARS'!B11</f>
        <v>0</v>
      </c>
      <c r="O11" s="102">
        <f>C11-'Table 3.15-Route UAA NoPARS'!C11-'Table 3.16-Route UAA PARS'!C11</f>
        <v>0</v>
      </c>
      <c r="P11" s="102">
        <f>D11-'Table 3.15-Route UAA NoPARS'!D11-'Table 3.16-Route UAA PARS'!D11</f>
        <v>0</v>
      </c>
    </row>
    <row r="12" spans="1:16" ht="5.15" customHeight="1" x14ac:dyDescent="0.25">
      <c r="A12" s="18"/>
      <c r="B12" s="34"/>
      <c r="C12" s="36"/>
      <c r="D12" s="34"/>
      <c r="E12" s="34"/>
      <c r="F12" s="61"/>
      <c r="G12" s="118"/>
      <c r="H12" s="39"/>
      <c r="I12" s="39"/>
      <c r="J12" s="36"/>
      <c r="K12" s="61"/>
      <c r="L12" s="62"/>
    </row>
    <row r="13" spans="1:16" x14ac:dyDescent="0.25">
      <c r="A13" s="66" t="s">
        <v>383</v>
      </c>
      <c r="B13" s="34"/>
      <c r="C13" s="36"/>
      <c r="D13" s="34"/>
      <c r="E13" s="34"/>
      <c r="F13" s="61"/>
      <c r="G13" s="118"/>
      <c r="H13" s="39"/>
      <c r="I13" s="39"/>
      <c r="J13" s="36"/>
      <c r="K13" s="61"/>
      <c r="L13" s="62"/>
    </row>
    <row r="14" spans="1:16" x14ac:dyDescent="0.25">
      <c r="A14" s="245" t="s">
        <v>135</v>
      </c>
      <c r="B14" s="34">
        <v>87.007800499986089</v>
      </c>
      <c r="C14" s="36">
        <v>3750.3317910759429</v>
      </c>
      <c r="D14" s="34">
        <v>58050.779452287592</v>
      </c>
      <c r="E14" s="34"/>
      <c r="F14" s="61">
        <f>C14/D14</f>
        <v>6.460433135369649E-2</v>
      </c>
      <c r="G14" s="118"/>
      <c r="H14" s="39">
        <v>1.305475124586952</v>
      </c>
      <c r="I14" s="39"/>
      <c r="J14" s="36">
        <f>C14*H14</f>
        <v>4895.9648621972738</v>
      </c>
      <c r="K14" s="61">
        <f>F14*(H14)</f>
        <v>8.4339347522823654E-2</v>
      </c>
      <c r="L14" s="62"/>
      <c r="N14" s="102">
        <f>B14-'Table 3.15-Route UAA NoPARS'!B14-'Table 3.16-Route UAA PARS'!B14</f>
        <v>0</v>
      </c>
      <c r="O14" s="102">
        <f>C14-'Table 3.15-Route UAA NoPARS'!C14-'Table 3.16-Route UAA PARS'!C14</f>
        <v>0</v>
      </c>
      <c r="P14" s="102">
        <f>D14-'Table 3.15-Route UAA NoPARS'!D14-'Table 3.16-Route UAA PARS'!D14</f>
        <v>0</v>
      </c>
    </row>
    <row r="15" spans="1:16" x14ac:dyDescent="0.25">
      <c r="A15" s="246" t="s">
        <v>136</v>
      </c>
      <c r="B15" s="34">
        <v>48.404594864594287</v>
      </c>
      <c r="C15" s="36">
        <v>1308.7600712265894</v>
      </c>
      <c r="D15" s="34">
        <v>32520.860121498059</v>
      </c>
      <c r="E15" s="34"/>
      <c r="F15" s="61">
        <f>C15/D15</f>
        <v>4.0243710232049729E-2</v>
      </c>
      <c r="G15" s="118"/>
      <c r="H15" s="39">
        <v>1.2169031925034866</v>
      </c>
      <c r="I15" s="39"/>
      <c r="J15" s="36">
        <f>C15*H15</f>
        <v>1592.6343088967271</v>
      </c>
      <c r="K15" s="61">
        <f>F15*(H15)</f>
        <v>4.8972699459566539E-2</v>
      </c>
      <c r="L15" s="62"/>
      <c r="N15" s="102">
        <f>B15-'Table 3.15-Route UAA NoPARS'!B15-'Table 3.16-Route UAA PARS'!B15</f>
        <v>0</v>
      </c>
      <c r="O15" s="102">
        <f>C15-'Table 3.15-Route UAA NoPARS'!C15-'Table 3.16-Route UAA PARS'!C15</f>
        <v>0</v>
      </c>
      <c r="P15" s="102">
        <f>D15-'Table 3.15-Route UAA NoPARS'!D15-'Table 3.16-Route UAA PARS'!D15</f>
        <v>0</v>
      </c>
    </row>
    <row r="16" spans="1:16" x14ac:dyDescent="0.25">
      <c r="A16" s="245" t="s">
        <v>137</v>
      </c>
      <c r="B16" s="34">
        <v>39.457688962407367</v>
      </c>
      <c r="C16" s="36">
        <v>735.62257753554695</v>
      </c>
      <c r="D16" s="34">
        <v>15828.950845911817</v>
      </c>
      <c r="E16" s="34"/>
      <c r="F16" s="61">
        <f>C16/D16</f>
        <v>4.6473236583809217E-2</v>
      </c>
      <c r="G16" s="118"/>
      <c r="H16" s="39">
        <v>1.5638897968218963</v>
      </c>
      <c r="I16" s="39"/>
      <c r="J16" s="36">
        <f>C16*H16</f>
        <v>1150.4326433196661</v>
      </c>
      <c r="K16" s="61">
        <f>F16*(H16)</f>
        <v>7.2679020518709322E-2</v>
      </c>
      <c r="L16" s="62"/>
      <c r="N16" s="102">
        <f>B16-'Table 3.15-Route UAA NoPARS'!B16-'Table 3.16-Route UAA PARS'!B16</f>
        <v>0</v>
      </c>
      <c r="O16" s="102">
        <f>C16-'Table 3.15-Route UAA NoPARS'!C16-'Table 3.16-Route UAA PARS'!C16</f>
        <v>0</v>
      </c>
      <c r="P16" s="102">
        <f>D16-'Table 3.15-Route UAA NoPARS'!D16-'Table 3.16-Route UAA PARS'!D16</f>
        <v>0</v>
      </c>
    </row>
    <row r="17" spans="1:16" ht="12.75" customHeight="1" x14ac:dyDescent="0.25">
      <c r="A17" s="245" t="s">
        <v>107</v>
      </c>
      <c r="B17" s="34">
        <v>0.86706202991493675</v>
      </c>
      <c r="C17" s="36">
        <v>38.068358423415297</v>
      </c>
      <c r="D17" s="34">
        <v>598.19683956144547</v>
      </c>
      <c r="E17" s="34"/>
      <c r="F17" s="61">
        <f>C17/D17</f>
        <v>6.3638514792763293E-2</v>
      </c>
      <c r="G17" s="118"/>
      <c r="H17" s="39">
        <v>1.2169031925034866</v>
      </c>
      <c r="I17" s="39"/>
      <c r="J17" s="36">
        <f>C17*H17</f>
        <v>46.325506898821068</v>
      </c>
      <c r="K17" s="61">
        <f>F17*(H17)</f>
        <v>7.7441911817494005E-2</v>
      </c>
      <c r="L17" s="62"/>
      <c r="N17" s="102">
        <f>B17-'Table 3.15-Route UAA NoPARS'!B17-'Table 3.16-Route UAA PARS'!B17</f>
        <v>0</v>
      </c>
      <c r="O17" s="102">
        <f>C17-'Table 3.15-Route UAA NoPARS'!C17-'Table 3.16-Route UAA PARS'!C17</f>
        <v>0</v>
      </c>
      <c r="P17" s="102">
        <f>D17-'Table 3.15-Route UAA NoPARS'!D17-'Table 3.16-Route UAA PARS'!D17</f>
        <v>0</v>
      </c>
    </row>
    <row r="18" spans="1:16" x14ac:dyDescent="0.25">
      <c r="A18" s="245" t="s">
        <v>277</v>
      </c>
      <c r="B18" s="34">
        <f>SUM(B14:B17)</f>
        <v>175.73714635690268</v>
      </c>
      <c r="C18" s="36">
        <f>SUM(C14:C17)</f>
        <v>5832.7827982614945</v>
      </c>
      <c r="D18" s="34">
        <f>SUM(D14:D17)</f>
        <v>106998.78725925891</v>
      </c>
      <c r="E18" s="34"/>
      <c r="F18" s="61">
        <f>C18/D18</f>
        <v>5.4512606616078887E-2</v>
      </c>
      <c r="G18" s="118"/>
      <c r="H18" s="39"/>
      <c r="I18" s="39"/>
      <c r="J18" s="36">
        <f>SUM(J14:J17)</f>
        <v>7685.3573213124882</v>
      </c>
      <c r="K18" s="61">
        <f>SUMPRODUCT(K14:K17,D14:D17)/D18</f>
        <v>7.1826583442397396E-2</v>
      </c>
      <c r="L18" s="62"/>
      <c r="N18" s="102">
        <f>B18-'Table 3.15-Route UAA NoPARS'!B18-'Table 3.16-Route UAA PARS'!B18</f>
        <v>0</v>
      </c>
      <c r="O18" s="102">
        <f>C18-'Table 3.15-Route UAA NoPARS'!C18-'Table 3.16-Route UAA PARS'!C18</f>
        <v>0</v>
      </c>
      <c r="P18" s="102">
        <f>D18-'Table 3.15-Route UAA NoPARS'!D18-'Table 3.16-Route UAA PARS'!D18</f>
        <v>0</v>
      </c>
    </row>
    <row r="19" spans="1:16" ht="5.15" customHeight="1" x14ac:dyDescent="0.25">
      <c r="A19" s="59"/>
      <c r="B19" s="34"/>
      <c r="C19" s="34"/>
      <c r="D19" s="34"/>
      <c r="E19" s="34"/>
      <c r="F19" s="61"/>
      <c r="G19" s="118"/>
      <c r="H19" s="39"/>
      <c r="I19" s="39"/>
      <c r="J19" s="36"/>
      <c r="K19" s="61"/>
      <c r="L19" s="62"/>
    </row>
    <row r="20" spans="1:16" ht="12.75" customHeight="1" x14ac:dyDescent="0.25">
      <c r="A20" s="66" t="s">
        <v>384</v>
      </c>
      <c r="B20" s="34"/>
      <c r="C20" s="34"/>
      <c r="D20" s="34"/>
      <c r="E20" s="34"/>
      <c r="F20" s="61"/>
      <c r="G20" s="118"/>
      <c r="H20" s="39"/>
      <c r="I20" s="39"/>
      <c r="J20" s="36"/>
      <c r="K20" s="61"/>
      <c r="L20" s="62"/>
    </row>
    <row r="21" spans="1:16" ht="12.75" customHeight="1" x14ac:dyDescent="0.25">
      <c r="A21" s="245" t="s">
        <v>135</v>
      </c>
      <c r="B21" s="34">
        <v>287.45274365889605</v>
      </c>
      <c r="C21" s="36">
        <v>12382.802367693015</v>
      </c>
      <c r="D21" s="34">
        <v>182136.97801265903</v>
      </c>
      <c r="E21" s="34"/>
      <c r="F21" s="61">
        <f>C21/D21</f>
        <v>6.7986207429182099E-2</v>
      </c>
      <c r="G21" s="118"/>
      <c r="H21" s="39">
        <v>1.305475124586952</v>
      </c>
      <c r="I21" s="39"/>
      <c r="J21" s="36">
        <f>C21*H21</f>
        <v>16165.440463699644</v>
      </c>
      <c r="K21" s="61">
        <f>F21*(H21)</f>
        <v>8.8754302613805861E-2</v>
      </c>
      <c r="L21" s="62"/>
      <c r="N21" s="102">
        <f>B21-'Table 3.15-Route UAA NoPARS'!B21-'Table 3.16-Route UAA PARS'!B21</f>
        <v>0</v>
      </c>
      <c r="O21" s="102">
        <f>C21-'Table 3.15-Route UAA NoPARS'!C21-'Table 3.16-Route UAA PARS'!C21</f>
        <v>0</v>
      </c>
      <c r="P21" s="102">
        <f>D21-'Table 3.15-Route UAA NoPARS'!D21-'Table 3.16-Route UAA PARS'!D21</f>
        <v>0</v>
      </c>
    </row>
    <row r="22" spans="1:16" ht="12.75" customHeight="1" x14ac:dyDescent="0.25">
      <c r="A22" s="246" t="s">
        <v>136</v>
      </c>
      <c r="B22" s="34">
        <v>125.84620903373562</v>
      </c>
      <c r="C22" s="36">
        <v>3435.2840096059581</v>
      </c>
      <c r="D22" s="34">
        <v>84219.50863735762</v>
      </c>
      <c r="E22" s="34"/>
      <c r="F22" s="61">
        <f>C22/D22</f>
        <v>4.0789646783597526E-2</v>
      </c>
      <c r="G22" s="118"/>
      <c r="H22" s="39">
        <v>1.2169031925034866</v>
      </c>
      <c r="I22" s="39"/>
      <c r="J22" s="36">
        <f>C22*H22</f>
        <v>4180.4080784456683</v>
      </c>
      <c r="K22" s="61">
        <f>F22*(H22)</f>
        <v>4.9637051392049401E-2</v>
      </c>
      <c r="L22" s="62"/>
      <c r="N22" s="102">
        <f>B22-'Table 3.15-Route UAA NoPARS'!B22-'Table 3.16-Route UAA PARS'!B22</f>
        <v>0</v>
      </c>
      <c r="O22" s="102">
        <f>C22-'Table 3.15-Route UAA NoPARS'!C22-'Table 3.16-Route UAA PARS'!C22</f>
        <v>0</v>
      </c>
      <c r="P22" s="102">
        <f>D22-'Table 3.15-Route UAA NoPARS'!D22-'Table 3.16-Route UAA PARS'!D22</f>
        <v>0</v>
      </c>
    </row>
    <row r="23" spans="1:16" ht="12.75" customHeight="1" x14ac:dyDescent="0.25">
      <c r="A23" s="245" t="s">
        <v>137</v>
      </c>
      <c r="B23" s="34">
        <v>57.501249224247267</v>
      </c>
      <c r="C23" s="36">
        <v>2012.2892722940878</v>
      </c>
      <c r="D23" s="34">
        <v>37756.526591443391</v>
      </c>
      <c r="E23" s="34"/>
      <c r="F23" s="61">
        <f>C23/D23</f>
        <v>5.3296461670553262E-2</v>
      </c>
      <c r="G23" s="118"/>
      <c r="H23" s="39">
        <v>1.5638897968218963</v>
      </c>
      <c r="I23" s="39"/>
      <c r="J23" s="36">
        <f>C23*H23</f>
        <v>3146.9986611948825</v>
      </c>
      <c r="K23" s="61">
        <f>F23*(H23)</f>
        <v>8.3349792613287524E-2</v>
      </c>
      <c r="L23" s="62"/>
      <c r="N23" s="102">
        <f>B23-'Table 3.15-Route UAA NoPARS'!B23-'Table 3.16-Route UAA PARS'!B23</f>
        <v>0</v>
      </c>
      <c r="O23" s="102">
        <f>C23-'Table 3.15-Route UAA NoPARS'!C23-'Table 3.16-Route UAA PARS'!C23</f>
        <v>0</v>
      </c>
      <c r="P23" s="102">
        <f>D23-'Table 3.15-Route UAA NoPARS'!D23-'Table 3.16-Route UAA PARS'!D23</f>
        <v>0</v>
      </c>
    </row>
    <row r="24" spans="1:16" ht="12.75" customHeight="1" x14ac:dyDescent="0.25">
      <c r="A24" s="245" t="s">
        <v>107</v>
      </c>
      <c r="B24" s="34">
        <v>1.7429013842473737</v>
      </c>
      <c r="C24" s="36">
        <v>76.522085275380945</v>
      </c>
      <c r="D24" s="34">
        <v>1202.4492640120936</v>
      </c>
      <c r="E24" s="34"/>
      <c r="F24" s="61">
        <f>C24/D24</f>
        <v>6.3638514792763279E-2</v>
      </c>
      <c r="G24" s="118"/>
      <c r="H24" s="39">
        <v>1.2169031925034866</v>
      </c>
      <c r="I24" s="39"/>
      <c r="J24" s="36">
        <f>C24*H24</f>
        <v>93.11996986863511</v>
      </c>
      <c r="K24" s="61">
        <f>F24*(H24)</f>
        <v>7.7441911817493991E-2</v>
      </c>
      <c r="L24" s="62"/>
      <c r="N24" s="102">
        <f>B24-'Table 3.15-Route UAA NoPARS'!B24-'Table 3.16-Route UAA PARS'!B24</f>
        <v>0</v>
      </c>
      <c r="O24" s="102">
        <f>C24-'Table 3.15-Route UAA NoPARS'!C24-'Table 3.16-Route UAA PARS'!C24</f>
        <v>0</v>
      </c>
      <c r="P24" s="102">
        <f>D24-'Table 3.15-Route UAA NoPARS'!D24-'Table 3.16-Route UAA PARS'!D24</f>
        <v>0</v>
      </c>
    </row>
    <row r="25" spans="1:16" ht="12.75" customHeight="1" x14ac:dyDescent="0.25">
      <c r="A25" s="245" t="s">
        <v>277</v>
      </c>
      <c r="B25" s="34">
        <f>SUM(B21:B24)</f>
        <v>472.54310330112634</v>
      </c>
      <c r="C25" s="36">
        <f>SUM(C21:C24)</f>
        <v>17906.897734868442</v>
      </c>
      <c r="D25" s="34">
        <f>SUM(D21:D24)</f>
        <v>305315.46250547213</v>
      </c>
      <c r="E25" s="34"/>
      <c r="F25" s="61">
        <f>C25/D25</f>
        <v>5.8650477731855784E-2</v>
      </c>
      <c r="G25" s="118"/>
      <c r="H25" s="39"/>
      <c r="I25" s="39"/>
      <c r="J25" s="36">
        <f>SUM(J21:J24)</f>
        <v>23585.967173208828</v>
      </c>
      <c r="K25" s="61">
        <f>SUMPRODUCT(K21:K24,D21:D24)/D25</f>
        <v>7.7251138804626057E-2</v>
      </c>
      <c r="L25" s="62"/>
      <c r="N25" s="102">
        <f>B25-'Table 3.15-Route UAA NoPARS'!B25-'Table 3.16-Route UAA PARS'!B25</f>
        <v>0</v>
      </c>
      <c r="O25" s="102">
        <f>C25-'Table 3.15-Route UAA NoPARS'!C25-'Table 3.16-Route UAA PARS'!C25</f>
        <v>0</v>
      </c>
      <c r="P25" s="102">
        <f>D25-'Table 3.15-Route UAA NoPARS'!D25-'Table 3.16-Route UAA PARS'!D25</f>
        <v>0</v>
      </c>
    </row>
    <row r="26" spans="1:16" ht="5.15" customHeight="1" x14ac:dyDescent="0.25">
      <c r="A26" s="59"/>
      <c r="B26" s="34"/>
      <c r="C26" s="34"/>
      <c r="D26" s="34"/>
      <c r="E26" s="34"/>
      <c r="F26" s="61"/>
      <c r="G26" s="118"/>
      <c r="H26" s="39"/>
      <c r="I26" s="39"/>
      <c r="J26" s="36"/>
      <c r="K26" s="61"/>
      <c r="L26" s="62"/>
    </row>
    <row r="27" spans="1:16" ht="12.75" customHeight="1" x14ac:dyDescent="0.25">
      <c r="A27" s="18" t="s">
        <v>276</v>
      </c>
      <c r="B27" s="34"/>
      <c r="C27" s="34"/>
      <c r="D27" s="34"/>
      <c r="E27" s="34"/>
      <c r="F27" s="61"/>
      <c r="G27" s="118"/>
      <c r="H27" s="39"/>
      <c r="I27" s="39"/>
      <c r="J27" s="36"/>
      <c r="K27" s="61"/>
      <c r="L27" s="62"/>
    </row>
    <row r="28" spans="1:16" ht="12.75" customHeight="1" x14ac:dyDescent="0.25">
      <c r="A28" s="245" t="s">
        <v>135</v>
      </c>
      <c r="B28" s="34">
        <v>27.12835594578349</v>
      </c>
      <c r="C28" s="36">
        <v>1098.3356574150675</v>
      </c>
      <c r="D28" s="34">
        <v>20180.150716005086</v>
      </c>
      <c r="E28" s="34"/>
      <c r="F28" s="61">
        <f>C28/D28</f>
        <v>5.4426533918003207E-2</v>
      </c>
      <c r="G28" s="118"/>
      <c r="H28" s="39">
        <v>1.305475124586952</v>
      </c>
      <c r="I28" s="39"/>
      <c r="J28" s="36">
        <f>C28*H28</f>
        <v>1433.8498792022272</v>
      </c>
      <c r="K28" s="61">
        <f>F28*(H28)</f>
        <v>7.105248614744121E-2</v>
      </c>
      <c r="L28" s="62"/>
      <c r="N28" s="102">
        <f>B28-'Table 3.15-Route UAA NoPARS'!B28-'Table 3.16-Route UAA PARS'!B28</f>
        <v>0</v>
      </c>
      <c r="O28" s="102">
        <f>C28-'Table 3.15-Route UAA NoPARS'!C28-'Table 3.16-Route UAA PARS'!C28</f>
        <v>0</v>
      </c>
      <c r="P28" s="102">
        <f>D28-'Table 3.15-Route UAA NoPARS'!D28-'Table 3.16-Route UAA PARS'!D28</f>
        <v>0</v>
      </c>
    </row>
    <row r="29" spans="1:16" ht="12.75" customHeight="1" x14ac:dyDescent="0.25">
      <c r="A29" s="246" t="s">
        <v>136</v>
      </c>
      <c r="B29" s="34">
        <v>14.226610245672882</v>
      </c>
      <c r="C29" s="36">
        <v>360.71269290737018</v>
      </c>
      <c r="D29" s="34">
        <v>10101.239852936986</v>
      </c>
      <c r="E29" s="34"/>
      <c r="F29" s="61">
        <f>C29/D29</f>
        <v>3.5709744363954604E-2</v>
      </c>
      <c r="G29" s="118"/>
      <c r="H29" s="39">
        <v>1.2169031925034866</v>
      </c>
      <c r="I29" s="39"/>
      <c r="J29" s="36">
        <f>C29*H29</f>
        <v>438.95242757550852</v>
      </c>
      <c r="K29" s="61">
        <f>F29*(H29)</f>
        <v>4.3455301919979747E-2</v>
      </c>
      <c r="L29" s="62"/>
      <c r="N29" s="102">
        <f>B29-'Table 3.15-Route UAA NoPARS'!B29-'Table 3.16-Route UAA PARS'!B29</f>
        <v>0</v>
      </c>
      <c r="O29" s="102">
        <f>C29-'Table 3.15-Route UAA NoPARS'!C29-'Table 3.16-Route UAA PARS'!C29</f>
        <v>0</v>
      </c>
      <c r="P29" s="102">
        <f>D29-'Table 3.15-Route UAA NoPARS'!D29-'Table 3.16-Route UAA PARS'!D29</f>
        <v>0</v>
      </c>
    </row>
    <row r="30" spans="1:16" ht="12.75" customHeight="1" x14ac:dyDescent="0.25">
      <c r="A30" s="245" t="s">
        <v>137</v>
      </c>
      <c r="B30" s="34">
        <v>11.64377325779054</v>
      </c>
      <c r="C30" s="36">
        <v>1300.4614053673656</v>
      </c>
      <c r="D30" s="34">
        <v>5748.8220719879173</v>
      </c>
      <c r="E30" s="34"/>
      <c r="F30" s="61">
        <f>C30/D30</f>
        <v>0.22621354237141519</v>
      </c>
      <c r="G30" s="118"/>
      <c r="H30" s="39">
        <v>1.5638897968218963</v>
      </c>
      <c r="I30" s="39"/>
      <c r="J30" s="36">
        <f>C30*H30</f>
        <v>2033.7783230146872</v>
      </c>
      <c r="K30" s="61">
        <f>F30*(H30)</f>
        <v>0.35377305081759397</v>
      </c>
      <c r="L30" s="62"/>
      <c r="N30" s="102">
        <f>B30-'Table 3.15-Route UAA NoPARS'!B30-'Table 3.16-Route UAA PARS'!B30</f>
        <v>0</v>
      </c>
      <c r="O30" s="102">
        <f>C30-'Table 3.15-Route UAA NoPARS'!C30-'Table 3.16-Route UAA PARS'!C30</f>
        <v>0</v>
      </c>
      <c r="P30" s="102">
        <f>D30-'Table 3.15-Route UAA NoPARS'!D30-'Table 3.16-Route UAA PARS'!D30</f>
        <v>0</v>
      </c>
    </row>
    <row r="31" spans="1:16" ht="12.75" customHeight="1" x14ac:dyDescent="0.25">
      <c r="A31" s="245" t="s">
        <v>107</v>
      </c>
      <c r="B31" s="34">
        <v>9.4206759964908973E-2</v>
      </c>
      <c r="C31" s="36">
        <v>4.1361477962593289</v>
      </c>
      <c r="D31" s="34">
        <v>71.957251405446939</v>
      </c>
      <c r="E31" s="34"/>
      <c r="F31" s="61">
        <f>C31/D31</f>
        <v>5.7480625169435466E-2</v>
      </c>
      <c r="G31" s="118"/>
      <c r="H31" s="39">
        <v>1.2169031925034866</v>
      </c>
      <c r="I31" s="39"/>
      <c r="J31" s="36">
        <f>C31*H31</f>
        <v>5.0332914579342383</v>
      </c>
      <c r="K31" s="61">
        <f>F31*(H31)</f>
        <v>6.9948356275782275E-2</v>
      </c>
      <c r="L31" s="62"/>
      <c r="N31" s="102">
        <f>B31-'Table 3.15-Route UAA NoPARS'!B31-'Table 3.16-Route UAA PARS'!B31</f>
        <v>0</v>
      </c>
      <c r="O31" s="102">
        <f>C31-'Table 3.15-Route UAA NoPARS'!C31-'Table 3.16-Route UAA PARS'!C31</f>
        <v>0</v>
      </c>
      <c r="P31" s="102">
        <f>D31-'Table 3.15-Route UAA NoPARS'!D31-'Table 3.16-Route UAA PARS'!D31</f>
        <v>0</v>
      </c>
    </row>
    <row r="32" spans="1:16" ht="12.75" customHeight="1" x14ac:dyDescent="0.25">
      <c r="A32" s="245" t="s">
        <v>277</v>
      </c>
      <c r="B32" s="34">
        <f>SUM(B28:B31)</f>
        <v>53.092946209211824</v>
      </c>
      <c r="C32" s="36">
        <f>SUM(C28:C31)</f>
        <v>2763.6459034860627</v>
      </c>
      <c r="D32" s="34">
        <f>SUM(D28:D31)</f>
        <v>36102.169892335434</v>
      </c>
      <c r="E32" s="34"/>
      <c r="F32" s="61">
        <f>C32/D32</f>
        <v>7.6550686890230119E-2</v>
      </c>
      <c r="G32" s="118"/>
      <c r="H32" s="39"/>
      <c r="I32" s="39"/>
      <c r="J32" s="36">
        <f>SUM(J28:J31)</f>
        <v>3911.6139212503572</v>
      </c>
      <c r="K32" s="61">
        <f>SUMPRODUCT(K28:K31,D28:D31)/D32</f>
        <v>0.10834844367847267</v>
      </c>
      <c r="L32" s="62"/>
      <c r="N32" s="102">
        <f>B32-'Table 3.15-Route UAA NoPARS'!B32-'Table 3.16-Route UAA PARS'!B32</f>
        <v>0</v>
      </c>
      <c r="O32" s="102">
        <f>C32-'Table 3.15-Route UAA NoPARS'!C32-'Table 3.16-Route UAA PARS'!C32</f>
        <v>0</v>
      </c>
      <c r="P32" s="102">
        <f>D32-'Table 3.15-Route UAA NoPARS'!D32-'Table 3.16-Route UAA PARS'!D32</f>
        <v>0</v>
      </c>
    </row>
    <row r="33" spans="1:17" ht="5.15" customHeight="1" x14ac:dyDescent="0.25">
      <c r="A33" s="59"/>
      <c r="B33" s="34"/>
      <c r="C33" s="36"/>
      <c r="D33" s="34"/>
      <c r="E33" s="34"/>
      <c r="F33" s="61"/>
      <c r="G33" s="118"/>
      <c r="H33" s="39"/>
      <c r="I33" s="39"/>
      <c r="J33" s="36"/>
      <c r="K33" s="61"/>
      <c r="L33" s="62"/>
    </row>
    <row r="34" spans="1:17" ht="12.75" customHeight="1" x14ac:dyDescent="0.25">
      <c r="A34" s="66" t="s">
        <v>288</v>
      </c>
      <c r="B34" s="34"/>
      <c r="C34" s="36"/>
      <c r="D34" s="34"/>
      <c r="E34" s="34"/>
      <c r="F34" s="61"/>
      <c r="G34" s="118"/>
      <c r="H34" s="39"/>
      <c r="I34" s="39"/>
      <c r="J34" s="36"/>
      <c r="K34" s="61"/>
      <c r="L34" s="62"/>
    </row>
    <row r="35" spans="1:17" x14ac:dyDescent="0.25">
      <c r="A35" s="245" t="s">
        <v>135</v>
      </c>
      <c r="B35" s="34">
        <f t="shared" ref="B35:D38" si="0">SUM(B7,B14,B21,B28)</f>
        <v>1201.296603599046</v>
      </c>
      <c r="C35" s="36">
        <f t="shared" si="0"/>
        <v>51555.640113995876</v>
      </c>
      <c r="D35" s="34">
        <f t="shared" si="0"/>
        <v>797769.83203533094</v>
      </c>
      <c r="E35" s="34"/>
      <c r="F35" s="61">
        <f>C35/D35</f>
        <v>6.4624705076228833E-2</v>
      </c>
      <c r="G35" s="118"/>
      <c r="H35" s="39">
        <v>1.305475124586952</v>
      </c>
      <c r="I35" s="39"/>
      <c r="J35" s="36">
        <f>SUM(J7,J14,J21,J28)</f>
        <v>67304.605700978835</v>
      </c>
      <c r="K35" s="61">
        <f>F35*(H35)</f>
        <v>8.4365944910784862E-2</v>
      </c>
      <c r="L35" s="62"/>
      <c r="N35" s="102">
        <f>B35-'Table 3.15-Route UAA NoPARS'!B35-'Table 3.16-Route UAA PARS'!B35</f>
        <v>0</v>
      </c>
      <c r="O35" s="102">
        <f>C35-'Table 3.15-Route UAA NoPARS'!C35-'Table 3.16-Route UAA PARS'!C35</f>
        <v>0</v>
      </c>
      <c r="P35" s="102">
        <f>D35-'Table 3.15-Route UAA NoPARS'!D35-'Table 3.16-Route UAA PARS'!D35</f>
        <v>0</v>
      </c>
    </row>
    <row r="36" spans="1:17" x14ac:dyDescent="0.25">
      <c r="A36" s="246" t="s">
        <v>136</v>
      </c>
      <c r="B36" s="34">
        <f t="shared" si="0"/>
        <v>473.50438627723702</v>
      </c>
      <c r="C36" s="36">
        <f t="shared" si="0"/>
        <v>12510.720112273924</v>
      </c>
      <c r="D36" s="34">
        <f t="shared" si="0"/>
        <v>326682.94616066769</v>
      </c>
      <c r="E36" s="34"/>
      <c r="F36" s="61">
        <f>C36/D36</f>
        <v>3.8296214293723679E-2</v>
      </c>
      <c r="G36" s="118"/>
      <c r="H36" s="39">
        <v>1.2169031925034866</v>
      </c>
      <c r="I36" s="39"/>
      <c r="J36" s="36">
        <f>SUM(J8,J15,J22,J29)</f>
        <v>15224.335245143715</v>
      </c>
      <c r="K36" s="61">
        <f>F36*(H36)</f>
        <v>4.6602785434829999E-2</v>
      </c>
      <c r="L36" s="62"/>
      <c r="N36" s="102">
        <f>B36-'Table 3.15-Route UAA NoPARS'!B36-'Table 3.16-Route UAA PARS'!B36</f>
        <v>0</v>
      </c>
      <c r="O36" s="102">
        <f>C36-'Table 3.15-Route UAA NoPARS'!C36-'Table 3.16-Route UAA PARS'!C36</f>
        <v>0</v>
      </c>
      <c r="P36" s="102">
        <f>D36-'Table 3.15-Route UAA NoPARS'!D36-'Table 3.16-Route UAA PARS'!D36</f>
        <v>0</v>
      </c>
    </row>
    <row r="37" spans="1:17" x14ac:dyDescent="0.25">
      <c r="A37" s="245" t="s">
        <v>137</v>
      </c>
      <c r="B37" s="34">
        <f t="shared" si="0"/>
        <v>311.82601381768575</v>
      </c>
      <c r="C37" s="36">
        <f t="shared" si="0"/>
        <v>10609.259040212903</v>
      </c>
      <c r="D37" s="34">
        <f t="shared" si="0"/>
        <v>200057.64944516239</v>
      </c>
      <c r="E37" s="34"/>
      <c r="F37" s="61">
        <f>C37/D37</f>
        <v>5.3031009159792197E-2</v>
      </c>
      <c r="G37" s="118"/>
      <c r="H37" s="39">
        <v>1.5638897968218963</v>
      </c>
      <c r="I37" s="39"/>
      <c r="J37" s="36">
        <f>SUM(J9,J16,J23,J30)</f>
        <v>16591.711964829421</v>
      </c>
      <c r="K37" s="61">
        <f>F37*(H37)</f>
        <v>8.2934654140167541E-2</v>
      </c>
      <c r="L37" s="62"/>
      <c r="N37" s="102">
        <f>B37-'Table 3.15-Route UAA NoPARS'!B37-'Table 3.16-Route UAA PARS'!B37</f>
        <v>0</v>
      </c>
      <c r="O37" s="102">
        <f>C37-'Table 3.15-Route UAA NoPARS'!C37-'Table 3.16-Route UAA PARS'!C37</f>
        <v>0</v>
      </c>
      <c r="P37" s="102">
        <f>D37-'Table 3.15-Route UAA NoPARS'!D37-'Table 3.16-Route UAA PARS'!D37</f>
        <v>0</v>
      </c>
    </row>
    <row r="38" spans="1:17" x14ac:dyDescent="0.25">
      <c r="A38" s="245" t="s">
        <v>107</v>
      </c>
      <c r="B38" s="34">
        <f t="shared" si="0"/>
        <v>8.3055867249663695</v>
      </c>
      <c r="C38" s="36">
        <f t="shared" si="0"/>
        <v>364.65678515964845</v>
      </c>
      <c r="D38" s="34">
        <f t="shared" si="0"/>
        <v>5788.5286081634767</v>
      </c>
      <c r="E38" s="34"/>
      <c r="F38" s="61">
        <f>C38/D38</f>
        <v>6.2996455549235497E-2</v>
      </c>
      <c r="G38" s="118"/>
      <c r="H38" s="39">
        <v>1.2169031925034866</v>
      </c>
      <c r="I38" s="39"/>
      <c r="J38" s="36">
        <f>SUM(J10,J17,J24,J31)</f>
        <v>443.75200602883422</v>
      </c>
      <c r="K38" s="61">
        <f>F38*(H38)</f>
        <v>7.666058787426866E-2</v>
      </c>
      <c r="L38" s="62"/>
      <c r="N38" s="102">
        <f>B38-'Table 3.15-Route UAA NoPARS'!B38-'Table 3.16-Route UAA PARS'!B38</f>
        <v>0</v>
      </c>
      <c r="O38" s="102">
        <f>C38-'Table 3.15-Route UAA NoPARS'!C38-'Table 3.16-Route UAA PARS'!C38</f>
        <v>0</v>
      </c>
      <c r="P38" s="102">
        <f>D38-'Table 3.15-Route UAA NoPARS'!D38-'Table 3.16-Route UAA PARS'!D38</f>
        <v>0</v>
      </c>
    </row>
    <row r="39" spans="1:17" x14ac:dyDescent="0.25">
      <c r="A39" s="246" t="s">
        <v>102</v>
      </c>
      <c r="B39" s="34">
        <f>SUM(B35:B38)</f>
        <v>1994.932590418935</v>
      </c>
      <c r="C39" s="36">
        <f>SUM(C35:C38)</f>
        <v>75040.276051642344</v>
      </c>
      <c r="D39" s="34">
        <f>SUM(D35:D38)</f>
        <v>1330298.9562493246</v>
      </c>
      <c r="E39" s="34"/>
      <c r="F39" s="61"/>
      <c r="G39" s="118"/>
      <c r="H39" s="39"/>
      <c r="I39" s="39"/>
      <c r="J39" s="36">
        <f>SUM(J35:J38)</f>
        <v>99564.404916980799</v>
      </c>
      <c r="K39" s="61">
        <f>SUMPRODUCT(K35:K38,D35:D38)/D39</f>
        <v>7.4843631538052888E-2</v>
      </c>
      <c r="L39" s="62"/>
      <c r="N39" s="102">
        <f>B39-'Table 3.15-Route UAA NoPARS'!B39-'Table 3.16-Route UAA PARS'!B39</f>
        <v>0</v>
      </c>
      <c r="O39" s="102">
        <f>C39-'Table 3.15-Route UAA NoPARS'!C39-'Table 3.16-Route UAA PARS'!C39</f>
        <v>0</v>
      </c>
      <c r="P39" s="102">
        <f>D39-'Table 3.15-Route UAA NoPARS'!D39-'Table 3.16-Route UAA PARS'!D39</f>
        <v>0</v>
      </c>
    </row>
    <row r="40" spans="1:17" ht="5.15" customHeight="1" x14ac:dyDescent="0.25">
      <c r="A40" s="59"/>
      <c r="B40" s="34"/>
      <c r="C40" s="36"/>
      <c r="D40" s="34"/>
      <c r="E40" s="34"/>
      <c r="F40" s="61"/>
      <c r="G40" s="118"/>
      <c r="H40" s="39"/>
      <c r="I40" s="39"/>
      <c r="J40" s="36"/>
      <c r="K40" s="61"/>
      <c r="L40" s="62"/>
    </row>
    <row r="41" spans="1:17" x14ac:dyDescent="0.25">
      <c r="A41" s="59"/>
      <c r="B41" s="34"/>
      <c r="C41" s="36"/>
      <c r="D41" s="34"/>
      <c r="E41" s="34"/>
      <c r="F41" s="61"/>
      <c r="G41" s="118"/>
      <c r="H41" s="39"/>
      <c r="I41" s="39"/>
      <c r="J41" s="36"/>
      <c r="K41" s="61"/>
      <c r="L41" s="62"/>
    </row>
    <row r="42" spans="1:17" ht="15.5" x14ac:dyDescent="0.35">
      <c r="A42" s="117" t="s">
        <v>63</v>
      </c>
      <c r="L42" s="62"/>
    </row>
    <row r="43" spans="1:17" ht="15.5" x14ac:dyDescent="0.35">
      <c r="A43" s="117" t="s">
        <v>787</v>
      </c>
      <c r="L43" s="62"/>
    </row>
    <row r="44" spans="1:17" ht="25" x14ac:dyDescent="0.25">
      <c r="B44" s="138" t="s">
        <v>248</v>
      </c>
      <c r="C44" s="107" t="s">
        <v>249</v>
      </c>
      <c r="D44" s="125" t="s">
        <v>250</v>
      </c>
      <c r="E44" s="125"/>
      <c r="F44" s="126" t="s">
        <v>207</v>
      </c>
      <c r="G44" s="118"/>
      <c r="H44" s="119" t="s">
        <v>246</v>
      </c>
      <c r="I44" s="118"/>
      <c r="J44" s="138" t="s">
        <v>110</v>
      </c>
      <c r="K44" s="31" t="s">
        <v>133</v>
      </c>
      <c r="L44" s="62"/>
    </row>
    <row r="45" spans="1:17" ht="13" x14ac:dyDescent="0.3">
      <c r="A45" s="14" t="s">
        <v>385</v>
      </c>
      <c r="B45" s="34"/>
      <c r="C45" s="36"/>
      <c r="D45" s="34"/>
      <c r="E45" s="34"/>
      <c r="F45" s="61"/>
      <c r="G45" s="118"/>
      <c r="H45" s="39"/>
      <c r="I45" s="39"/>
      <c r="J45" s="36"/>
      <c r="K45" s="61"/>
      <c r="L45" s="62"/>
    </row>
    <row r="46" spans="1:17" ht="5.15" customHeight="1" x14ac:dyDescent="0.25">
      <c r="A46" s="59"/>
      <c r="B46" s="34"/>
      <c r="C46" s="36"/>
      <c r="D46" s="34"/>
      <c r="E46" s="34"/>
      <c r="F46" s="61"/>
      <c r="G46" s="118"/>
      <c r="H46" s="39"/>
      <c r="I46" s="39"/>
      <c r="J46" s="36"/>
      <c r="K46" s="61"/>
      <c r="L46" s="62"/>
    </row>
    <row r="47" spans="1:17" x14ac:dyDescent="0.25">
      <c r="A47" s="66" t="s">
        <v>386</v>
      </c>
      <c r="B47" s="34"/>
      <c r="C47" s="36"/>
      <c r="D47" s="34"/>
      <c r="E47" s="34"/>
      <c r="F47" s="31"/>
      <c r="G47" s="118"/>
      <c r="H47" s="39"/>
      <c r="I47" s="39"/>
      <c r="J47" s="32"/>
      <c r="K47" s="31"/>
      <c r="L47" s="62"/>
    </row>
    <row r="48" spans="1:17" x14ac:dyDescent="0.25">
      <c r="A48" s="245" t="s">
        <v>135</v>
      </c>
      <c r="B48" s="34">
        <v>37.838990641152286</v>
      </c>
      <c r="C48" s="36">
        <v>1899.5678446058882</v>
      </c>
      <c r="D48" s="34">
        <v>28986.533606506095</v>
      </c>
      <c r="E48" s="34"/>
      <c r="F48" s="61">
        <f>C48/D48</f>
        <v>6.5532770161228451E-2</v>
      </c>
      <c r="G48" s="118"/>
      <c r="H48" s="39">
        <v>1.305475124586952</v>
      </c>
      <c r="I48" s="39"/>
      <c r="J48" s="36">
        <f>C48*H48</f>
        <v>2479.8385685982398</v>
      </c>
      <c r="K48" s="61">
        <f>F48*(H48)</f>
        <v>8.5551401290757806E-2</v>
      </c>
      <c r="L48" s="62"/>
      <c r="N48" s="102">
        <f>B48-'Table 3.15-Route UAA NoPARS'!B48-'Table 3.16-Route UAA PARS'!B48</f>
        <v>0</v>
      </c>
      <c r="O48" s="102">
        <f>C48-'Table 3.15-Route UAA NoPARS'!C48-'Table 3.16-Route UAA PARS'!C48</f>
        <v>0</v>
      </c>
      <c r="P48" s="102">
        <f>D48-'Table 3.15-Route UAA NoPARS'!D48-'Table 3.16-Route UAA PARS'!D48</f>
        <v>0</v>
      </c>
      <c r="Q48" s="102">
        <f>J48-'Table 3.15-Route UAA NoPARS'!J48-'Table 3.16-Route UAA PARS'!J48</f>
        <v>0</v>
      </c>
    </row>
    <row r="49" spans="1:17" x14ac:dyDescent="0.25">
      <c r="A49" s="246" t="s">
        <v>136</v>
      </c>
      <c r="B49" s="34">
        <v>10.099950284905001</v>
      </c>
      <c r="C49" s="36">
        <v>457.4012352365404</v>
      </c>
      <c r="D49" s="34">
        <v>12838.829174068183</v>
      </c>
      <c r="E49" s="34"/>
      <c r="F49" s="61">
        <f>C49/D49</f>
        <v>3.5626397784028284E-2</v>
      </c>
      <c r="G49" s="118"/>
      <c r="H49" s="39">
        <v>1.2169031925034866</v>
      </c>
      <c r="I49" s="39"/>
      <c r="J49" s="36">
        <f>C49*H49</f>
        <v>556.61302341438432</v>
      </c>
      <c r="K49" s="61">
        <f>F49*(H49)</f>
        <v>4.335387720078316E-2</v>
      </c>
      <c r="L49" s="62"/>
      <c r="N49" s="102">
        <f>B49-'Table 3.15-Route UAA NoPARS'!B49-'Table 3.16-Route UAA PARS'!B49</f>
        <v>0</v>
      </c>
      <c r="O49" s="102">
        <f>C49-'Table 3.15-Route UAA NoPARS'!C49-'Table 3.16-Route UAA PARS'!C49</f>
        <v>0</v>
      </c>
      <c r="P49" s="102">
        <f>D49-'Table 3.15-Route UAA NoPARS'!D49-'Table 3.16-Route UAA PARS'!D49</f>
        <v>0</v>
      </c>
      <c r="Q49" s="102">
        <f>J49-'Table 3.15-Route UAA NoPARS'!J49-'Table 3.16-Route UAA PARS'!J49</f>
        <v>0</v>
      </c>
    </row>
    <row r="50" spans="1:17" x14ac:dyDescent="0.25">
      <c r="A50" s="245" t="s">
        <v>137</v>
      </c>
      <c r="B50" s="24">
        <v>4.810386117719351</v>
      </c>
      <c r="C50" s="36">
        <v>367.83560069916609</v>
      </c>
      <c r="D50" s="24">
        <v>4868.9632129160873</v>
      </c>
      <c r="E50" s="34"/>
      <c r="F50" s="61">
        <f>C50/D50</f>
        <v>7.5547007568961363E-2</v>
      </c>
      <c r="G50" s="118"/>
      <c r="H50" s="39">
        <v>1.5638897968218963</v>
      </c>
      <c r="I50" s="39"/>
      <c r="J50" s="36">
        <f>C50*H50</f>
        <v>575.25434284127903</v>
      </c>
      <c r="K50" s="61">
        <f>F50*(H50)</f>
        <v>0.11814719431752525</v>
      </c>
      <c r="L50" s="62"/>
      <c r="N50" s="102">
        <f>B50-'Table 3.15-Route UAA NoPARS'!B50-'Table 3.16-Route UAA PARS'!B50</f>
        <v>0</v>
      </c>
      <c r="O50" s="102">
        <f>C50-'Table 3.15-Route UAA NoPARS'!C50-'Table 3.16-Route UAA PARS'!C50</f>
        <v>0</v>
      </c>
      <c r="P50" s="102">
        <f>D50-'Table 3.15-Route UAA NoPARS'!D50-'Table 3.16-Route UAA PARS'!D50</f>
        <v>0</v>
      </c>
      <c r="Q50" s="102">
        <f>J50-'Table 3.15-Route UAA NoPARS'!J50-'Table 3.16-Route UAA PARS'!J50</f>
        <v>0</v>
      </c>
    </row>
    <row r="51" spans="1:17" x14ac:dyDescent="0.25">
      <c r="A51" s="245" t="s">
        <v>107</v>
      </c>
      <c r="B51" s="24">
        <v>0.22761012931141247</v>
      </c>
      <c r="C51" s="36">
        <v>9.9932227274175638</v>
      </c>
      <c r="D51" s="24">
        <v>287.39493491372855</v>
      </c>
      <c r="E51" s="34"/>
      <c r="F51" s="61">
        <f>C51/D51</f>
        <v>3.4771742690654493E-2</v>
      </c>
      <c r="G51" s="118"/>
      <c r="H51" s="39">
        <v>1.2169031925034866</v>
      </c>
      <c r="I51" s="39"/>
      <c r="J51" s="36">
        <f>C51*H51</f>
        <v>12.160784640392832</v>
      </c>
      <c r="K51" s="61">
        <f>F51*(H51)</f>
        <v>4.2313844689167227E-2</v>
      </c>
      <c r="L51" s="62"/>
      <c r="N51" s="102">
        <f>B51-'Table 3.15-Route UAA NoPARS'!B51-'Table 3.16-Route UAA PARS'!B51</f>
        <v>0</v>
      </c>
      <c r="O51" s="102">
        <f>C51-'Table 3.15-Route UAA NoPARS'!C51-'Table 3.16-Route UAA PARS'!C51</f>
        <v>0</v>
      </c>
      <c r="P51" s="102">
        <f>D51-'Table 3.15-Route UAA NoPARS'!D51-'Table 3.16-Route UAA PARS'!D51</f>
        <v>0</v>
      </c>
      <c r="Q51" s="102">
        <f>J51-'Table 3.15-Route UAA NoPARS'!J51-'Table 3.16-Route UAA PARS'!J51</f>
        <v>0</v>
      </c>
    </row>
    <row r="52" spans="1:17" x14ac:dyDescent="0.25">
      <c r="A52" s="245" t="s">
        <v>277</v>
      </c>
      <c r="B52" s="24">
        <f>SUM(B48:B51)</f>
        <v>52.976937173088054</v>
      </c>
      <c r="C52" s="36">
        <f>SUM(C48:C51)</f>
        <v>2734.7979032690123</v>
      </c>
      <c r="D52" s="24">
        <f>SUM(D48:D51)</f>
        <v>46981.720928404095</v>
      </c>
      <c r="E52" s="34"/>
      <c r="F52" s="31"/>
      <c r="G52" s="118"/>
      <c r="H52" s="39"/>
      <c r="I52" s="39"/>
      <c r="J52" s="36">
        <f>SUM(J48:J51)</f>
        <v>3623.8667194942959</v>
      </c>
      <c r="K52" s="61">
        <f>SUMPRODUCT(K48:K51,D48:D51)/D52</f>
        <v>7.7133545725511884E-2</v>
      </c>
      <c r="L52" s="62"/>
      <c r="N52" s="102">
        <f>B52-'Table 3.15-Route UAA NoPARS'!B52-'Table 3.16-Route UAA PARS'!B52</f>
        <v>0</v>
      </c>
      <c r="O52" s="102">
        <f>C52-'Table 3.15-Route UAA NoPARS'!C52-'Table 3.16-Route UAA PARS'!C52</f>
        <v>0</v>
      </c>
      <c r="P52" s="102">
        <f>D52-'Table 3.15-Route UAA NoPARS'!D52-'Table 3.16-Route UAA PARS'!D52</f>
        <v>0</v>
      </c>
      <c r="Q52" s="102">
        <f>J52-'Table 3.15-Route UAA NoPARS'!J52-'Table 3.16-Route UAA PARS'!J52</f>
        <v>0</v>
      </c>
    </row>
    <row r="53" spans="1:17" x14ac:dyDescent="0.25">
      <c r="A53" s="18"/>
      <c r="B53" s="34"/>
      <c r="C53" s="34"/>
      <c r="D53" s="34"/>
      <c r="E53" s="34"/>
      <c r="F53" s="61"/>
      <c r="G53" s="118"/>
      <c r="H53" s="39"/>
      <c r="I53" s="39"/>
      <c r="J53" s="36"/>
      <c r="K53" s="61"/>
      <c r="L53" s="62"/>
    </row>
    <row r="54" spans="1:17" ht="5.15" customHeight="1" x14ac:dyDescent="0.25">
      <c r="B54" s="42"/>
      <c r="C54" s="42"/>
      <c r="D54" s="42"/>
      <c r="E54" s="30"/>
      <c r="F54" s="31"/>
      <c r="G54" s="118"/>
      <c r="H54" s="39"/>
      <c r="I54" s="39"/>
      <c r="J54" s="32"/>
      <c r="K54" s="31"/>
    </row>
    <row r="55" spans="1:17" x14ac:dyDescent="0.25">
      <c r="A55" s="66" t="s">
        <v>387</v>
      </c>
      <c r="B55" s="42"/>
      <c r="C55" s="42"/>
      <c r="D55" s="42"/>
      <c r="E55" s="30"/>
      <c r="F55" s="31"/>
      <c r="G55" s="118"/>
      <c r="H55" s="39"/>
      <c r="I55" s="39"/>
      <c r="J55" s="32"/>
      <c r="K55" s="31"/>
    </row>
    <row r="56" spans="1:17" x14ac:dyDescent="0.25">
      <c r="A56" s="245" t="s">
        <v>135</v>
      </c>
      <c r="B56" s="34">
        <v>29.072518751566051</v>
      </c>
      <c r="C56" s="36">
        <v>1462.2857901092734</v>
      </c>
      <c r="D56" s="34">
        <v>24490.212128169806</v>
      </c>
      <c r="E56" s="34"/>
      <c r="F56" s="61">
        <f>C56/D56</f>
        <v>5.9708988327923991E-2</v>
      </c>
      <c r="G56" s="118"/>
      <c r="H56" s="39">
        <v>1.305475124586952</v>
      </c>
      <c r="I56" s="39"/>
      <c r="J56" s="36">
        <f>C56*H56</f>
        <v>1908.9777240246333</v>
      </c>
      <c r="K56" s="61">
        <f>F56*(H56)</f>
        <v>7.7948598976357433E-2</v>
      </c>
      <c r="N56" s="102">
        <f>B56-'Table 3.15-Route UAA NoPARS'!B56-'Table 3.16-Route UAA PARS'!B56</f>
        <v>0</v>
      </c>
      <c r="O56" s="102">
        <f>C56-'Table 3.15-Route UAA NoPARS'!C56-'Table 3.16-Route UAA PARS'!C56</f>
        <v>0</v>
      </c>
      <c r="P56" s="102">
        <f>D56-'Table 3.15-Route UAA NoPARS'!D56-'Table 3.16-Route UAA PARS'!D56</f>
        <v>0</v>
      </c>
      <c r="Q56" s="102">
        <f>J56-'Table 3.15-Route UAA NoPARS'!J56-'Table 3.16-Route UAA PARS'!J56</f>
        <v>0</v>
      </c>
    </row>
    <row r="57" spans="1:17" x14ac:dyDescent="0.25">
      <c r="A57" s="246" t="s">
        <v>136</v>
      </c>
      <c r="B57" s="34">
        <v>11.672703844479491</v>
      </c>
      <c r="C57" s="36">
        <v>537.99815469652685</v>
      </c>
      <c r="D57" s="34">
        <v>11458.537566084991</v>
      </c>
      <c r="E57" s="34"/>
      <c r="F57" s="61">
        <f>C57/D57</f>
        <v>4.6951729362819841E-2</v>
      </c>
      <c r="G57" s="118"/>
      <c r="H57" s="39">
        <v>1.2169031925034866</v>
      </c>
      <c r="I57" s="39"/>
      <c r="J57" s="36">
        <f>C57*H57</f>
        <v>654.69167201118819</v>
      </c>
      <c r="K57" s="61">
        <f>F57*(H57)</f>
        <v>5.7135709355175153E-2</v>
      </c>
      <c r="N57" s="102">
        <f>B57-'Table 3.15-Route UAA NoPARS'!B57-'Table 3.16-Route UAA PARS'!B57</f>
        <v>0</v>
      </c>
      <c r="O57" s="102">
        <f>C57-'Table 3.15-Route UAA NoPARS'!C57-'Table 3.16-Route UAA PARS'!C57</f>
        <v>1.3500311979441904E-13</v>
      </c>
      <c r="P57" s="102">
        <f>D57-'Table 3.15-Route UAA NoPARS'!D57-'Table 3.16-Route UAA PARS'!D57</f>
        <v>0</v>
      </c>
      <c r="Q57" s="102">
        <f>J57-'Table 3.15-Route UAA NoPARS'!J57-'Table 3.16-Route UAA PARS'!J57</f>
        <v>1.9895196601282805E-13</v>
      </c>
    </row>
    <row r="58" spans="1:17" x14ac:dyDescent="0.25">
      <c r="A58" s="245" t="s">
        <v>137</v>
      </c>
      <c r="B58" s="24">
        <v>3.4633825753718548</v>
      </c>
      <c r="C58" s="36">
        <v>126.66575394095268</v>
      </c>
      <c r="D58" s="24">
        <v>3523.2554754685743</v>
      </c>
      <c r="E58" s="34"/>
      <c r="F58" s="61">
        <f>C58/D58</f>
        <v>3.5951339555956217E-2</v>
      </c>
      <c r="G58" s="118"/>
      <c r="H58" s="39">
        <v>1.5638897968218963</v>
      </c>
      <c r="I58" s="39"/>
      <c r="J58" s="36">
        <f>C58*H58</f>
        <v>198.09128019500881</v>
      </c>
      <c r="K58" s="61">
        <f>F58*(H58)</f>
        <v>5.6223933113639372E-2</v>
      </c>
      <c r="N58" s="102">
        <f>B58-'Table 3.15-Route UAA NoPARS'!B58-'Table 3.16-Route UAA PARS'!B58</f>
        <v>0</v>
      </c>
      <c r="O58" s="102">
        <f>C58-'Table 3.15-Route UAA NoPARS'!C58-'Table 3.16-Route UAA PARS'!C58</f>
        <v>0</v>
      </c>
      <c r="P58" s="102">
        <f>D58-'Table 3.15-Route UAA NoPARS'!D58-'Table 3.16-Route UAA PARS'!D58</f>
        <v>0</v>
      </c>
      <c r="Q58" s="102">
        <f>J58-'Table 3.15-Route UAA NoPARS'!J58-'Table 3.16-Route UAA PARS'!J58</f>
        <v>0</v>
      </c>
    </row>
    <row r="59" spans="1:17" x14ac:dyDescent="0.25">
      <c r="A59" s="245" t="s">
        <v>107</v>
      </c>
      <c r="B59" s="24">
        <v>2.34411358294591E-2</v>
      </c>
      <c r="C59" s="36">
        <v>1.0291830685924019</v>
      </c>
      <c r="D59" s="24">
        <v>50.831593547542134</v>
      </c>
      <c r="E59" s="34"/>
      <c r="F59" s="61">
        <f>C59/D59</f>
        <v>2.0246917256879233E-2</v>
      </c>
      <c r="G59" s="118"/>
      <c r="H59" s="39">
        <v>1.2169031925034866</v>
      </c>
      <c r="I59" s="39"/>
      <c r="J59" s="36">
        <f>C59*H59</f>
        <v>1.2524161618406287</v>
      </c>
      <c r="K59" s="61">
        <f>F59*(H59)</f>
        <v>2.4638538248250273E-2</v>
      </c>
      <c r="N59" s="102">
        <f>B59-'Table 3.15-Route UAA NoPARS'!B59-'Table 3.16-Route UAA PARS'!B59</f>
        <v>0</v>
      </c>
      <c r="O59" s="102">
        <f>C59-'Table 3.15-Route UAA NoPARS'!C59-'Table 3.16-Route UAA PARS'!C59</f>
        <v>0</v>
      </c>
      <c r="P59" s="102">
        <f>D59-'Table 3.15-Route UAA NoPARS'!D59-'Table 3.16-Route UAA PARS'!D59</f>
        <v>0</v>
      </c>
      <c r="Q59" s="102">
        <f>J59-'Table 3.15-Route UAA NoPARS'!J59-'Table 3.16-Route UAA PARS'!J59</f>
        <v>0</v>
      </c>
    </row>
    <row r="60" spans="1:17" x14ac:dyDescent="0.25">
      <c r="A60" s="245" t="s">
        <v>277</v>
      </c>
      <c r="B60" s="24">
        <f>SUM(B56:B59)</f>
        <v>44.232046307246854</v>
      </c>
      <c r="C60" s="36">
        <f>SUM(C56:C59)</f>
        <v>2127.9788818153452</v>
      </c>
      <c r="D60" s="24">
        <f>SUM(D56:D59)</f>
        <v>39522.836763270912</v>
      </c>
      <c r="E60" s="34"/>
      <c r="F60" s="31"/>
      <c r="G60" s="118"/>
      <c r="H60" s="39"/>
      <c r="I60" s="39"/>
      <c r="J60" s="36">
        <f>SUM(J56:J59)</f>
        <v>2763.0130923926713</v>
      </c>
      <c r="K60" s="61">
        <f>SUMPRODUCT(K56:K59,D56:D59)/D60</f>
        <v>6.9909280777142382E-2</v>
      </c>
      <c r="N60" s="102">
        <f>B60-'Table 3.15-Route UAA NoPARS'!B60-'Table 3.16-Route UAA PARS'!B60</f>
        <v>0</v>
      </c>
      <c r="O60" s="102">
        <f>C60-'Table 3.15-Route UAA NoPARS'!C60-'Table 3.16-Route UAA PARS'!C60</f>
        <v>0</v>
      </c>
      <c r="P60" s="102">
        <f>D60-'Table 3.15-Route UAA NoPARS'!D60-'Table 3.16-Route UAA PARS'!D60</f>
        <v>0</v>
      </c>
      <c r="Q60" s="102">
        <f>J60-'Table 3.15-Route UAA NoPARS'!J60-'Table 3.16-Route UAA PARS'!J60</f>
        <v>0</v>
      </c>
    </row>
    <row r="61" spans="1:17" ht="5.15" customHeight="1" x14ac:dyDescent="0.25">
      <c r="B61" s="34"/>
      <c r="C61" s="34"/>
      <c r="D61" s="34"/>
      <c r="E61" s="34"/>
      <c r="F61" s="31"/>
      <c r="G61" s="118"/>
      <c r="H61" s="39"/>
      <c r="I61" s="39"/>
      <c r="J61" s="32"/>
      <c r="K61" s="31"/>
    </row>
    <row r="62" spans="1:17" x14ac:dyDescent="0.25">
      <c r="A62" s="66" t="s">
        <v>388</v>
      </c>
      <c r="B62" s="4"/>
      <c r="C62" s="4"/>
      <c r="D62" s="4"/>
      <c r="E62" s="4"/>
      <c r="F62" s="4"/>
      <c r="G62" s="4"/>
      <c r="I62" s="4"/>
      <c r="J62" s="4"/>
      <c r="K62" s="4"/>
    </row>
    <row r="63" spans="1:17" x14ac:dyDescent="0.25">
      <c r="A63" s="245" t="s">
        <v>135</v>
      </c>
      <c r="B63" s="34">
        <v>32.665404783430382</v>
      </c>
      <c r="C63" s="36">
        <v>1550.3746207325746</v>
      </c>
      <c r="D63" s="34">
        <v>27676.989078545801</v>
      </c>
      <c r="E63" s="4"/>
      <c r="F63" s="61">
        <f>C63/D63</f>
        <v>5.6016737092777512E-2</v>
      </c>
      <c r="G63" s="4"/>
      <c r="H63" s="39">
        <v>1.305475124586952</v>
      </c>
      <c r="I63" s="4"/>
      <c r="J63" s="36">
        <f>C63*H63</f>
        <v>2023.9755011573063</v>
      </c>
      <c r="K63" s="61">
        <f>F63*(H63)</f>
        <v>7.3128456835148264E-2</v>
      </c>
      <c r="N63" s="102">
        <f>B63-'Table 3.15-Route UAA NoPARS'!B63-'Table 3.16-Route UAA PARS'!B63</f>
        <v>-5.3290705182007514E-15</v>
      </c>
      <c r="O63" s="102">
        <f>C63-'Table 3.15-Route UAA NoPARS'!C63-'Table 3.16-Route UAA PARS'!C63</f>
        <v>-3.979039320256561E-13</v>
      </c>
      <c r="P63" s="102">
        <f>D63-'Table 3.15-Route UAA NoPARS'!D63-'Table 3.16-Route UAA PARS'!D63</f>
        <v>0</v>
      </c>
      <c r="Q63" s="102">
        <f>J63-'Table 3.15-Route UAA NoPARS'!J63-'Table 3.16-Route UAA PARS'!J63</f>
        <v>-5.6843418860808015E-13</v>
      </c>
    </row>
    <row r="64" spans="1:17" x14ac:dyDescent="0.25">
      <c r="A64" s="246" t="s">
        <v>136</v>
      </c>
      <c r="B64" s="34">
        <v>13.5013742008883</v>
      </c>
      <c r="C64" s="36">
        <v>669.79254662620804</v>
      </c>
      <c r="D64" s="34">
        <v>12847.568213356826</v>
      </c>
      <c r="E64" s="4"/>
      <c r="F64" s="61">
        <f>C64/D64</f>
        <v>5.2133799603404009E-2</v>
      </c>
      <c r="G64" s="4"/>
      <c r="H64" s="39">
        <v>1.2169031925034866</v>
      </c>
      <c r="I64" s="4"/>
      <c r="J64" s="36">
        <f>C64*H64</f>
        <v>815.07268830447288</v>
      </c>
      <c r="K64" s="61">
        <f>F64*(H64)</f>
        <v>6.3441787174719336E-2</v>
      </c>
      <c r="N64" s="102">
        <f>B64-'Table 3.15-Route UAA NoPARS'!B64-'Table 3.16-Route UAA PARS'!B64</f>
        <v>-1.7763568394002505E-15</v>
      </c>
      <c r="O64" s="102">
        <f>C64-'Table 3.15-Route UAA NoPARS'!C64-'Table 3.16-Route UAA PARS'!C64</f>
        <v>0</v>
      </c>
      <c r="P64" s="102">
        <f>D64-'Table 3.15-Route UAA NoPARS'!D64-'Table 3.16-Route UAA PARS'!D64</f>
        <v>0</v>
      </c>
      <c r="Q64" s="102">
        <f>J64-'Table 3.15-Route UAA NoPARS'!J64-'Table 3.16-Route UAA PARS'!J64</f>
        <v>0</v>
      </c>
    </row>
    <row r="65" spans="1:17" x14ac:dyDescent="0.25">
      <c r="A65" s="245" t="s">
        <v>137</v>
      </c>
      <c r="B65" s="24">
        <v>8.1266552285240916</v>
      </c>
      <c r="C65" s="36">
        <v>894.5067662702603</v>
      </c>
      <c r="D65" s="24">
        <v>5215.0940483772529</v>
      </c>
      <c r="E65" s="4"/>
      <c r="F65" s="61">
        <f>C65/D65</f>
        <v>0.1715226528941694</v>
      </c>
      <c r="G65" s="4"/>
      <c r="H65" s="39">
        <v>1.5638897968218963</v>
      </c>
      <c r="I65" s="4"/>
      <c r="J65" s="36">
        <f>C65*H65</f>
        <v>1398.9100049582089</v>
      </c>
      <c r="K65" s="61">
        <f>F65*(H65)</f>
        <v>0.26824252678501526</v>
      </c>
      <c r="N65" s="102">
        <f>B65-'Table 3.15-Route UAA NoPARS'!B65-'Table 3.16-Route UAA PARS'!B65</f>
        <v>0</v>
      </c>
      <c r="O65" s="102">
        <f>C65-'Table 3.15-Route UAA NoPARS'!C65-'Table 3.16-Route UAA PARS'!C65</f>
        <v>-9.9475983006414026E-14</v>
      </c>
      <c r="P65" s="102">
        <f>D65-'Table 3.15-Route UAA NoPARS'!D65-'Table 3.16-Route UAA PARS'!D65</f>
        <v>0</v>
      </c>
      <c r="Q65" s="102">
        <f>J65-'Table 3.15-Route UAA NoPARS'!J65-'Table 3.16-Route UAA PARS'!J65</f>
        <v>-2.1671553440683056E-13</v>
      </c>
    </row>
    <row r="66" spans="1:17" x14ac:dyDescent="0.25">
      <c r="A66" s="245" t="s">
        <v>107</v>
      </c>
      <c r="B66" s="24">
        <v>0.28011901084396373</v>
      </c>
      <c r="C66" s="36">
        <v>12.298625171104227</v>
      </c>
      <c r="D66" s="24">
        <v>293.19526400394983</v>
      </c>
      <c r="E66" s="4"/>
      <c r="F66" s="61">
        <f>C66/D66</f>
        <v>4.1946875277421074E-2</v>
      </c>
      <c r="G66" s="4"/>
      <c r="H66" s="39">
        <v>1.2169031925034866</v>
      </c>
      <c r="I66" s="4"/>
      <c r="J66" s="36">
        <f>C66*H66</f>
        <v>14.966236234120473</v>
      </c>
      <c r="K66" s="61">
        <f>F66*(H66)</f>
        <v>5.1045286440639277E-2</v>
      </c>
      <c r="N66" s="102">
        <f>B66-'Table 3.15-Route UAA NoPARS'!B66-'Table 3.16-Route UAA PARS'!B66</f>
        <v>0</v>
      </c>
      <c r="O66" s="102">
        <f>C66-'Table 3.15-Route UAA NoPARS'!C66-'Table 3.16-Route UAA PARS'!C66</f>
        <v>0</v>
      </c>
      <c r="P66" s="102">
        <f>D66-'Table 3.15-Route UAA NoPARS'!D66-'Table 3.16-Route UAA PARS'!D66</f>
        <v>0</v>
      </c>
      <c r="Q66" s="102">
        <f>J66-'Table 3.15-Route UAA NoPARS'!J66-'Table 3.16-Route UAA PARS'!J66</f>
        <v>0</v>
      </c>
    </row>
    <row r="67" spans="1:17" x14ac:dyDescent="0.25">
      <c r="A67" s="245" t="s">
        <v>277</v>
      </c>
      <c r="B67" s="24">
        <f>SUM(B63:B66)</f>
        <v>54.573553223686737</v>
      </c>
      <c r="C67" s="36">
        <f>SUM(C63:C66)</f>
        <v>3126.972558800147</v>
      </c>
      <c r="D67" s="24">
        <f>SUM(D63:D66)</f>
        <v>46032.846604283834</v>
      </c>
      <c r="E67" s="4"/>
      <c r="F67" s="4"/>
      <c r="G67" s="4"/>
      <c r="I67" s="4"/>
      <c r="J67" s="36">
        <f>SUM(J63:J66)</f>
        <v>4252.9244306541086</v>
      </c>
      <c r="K67" s="61">
        <f>SUMPRODUCT(K63:K66,D63:D66)/D67</f>
        <v>9.2388908016353938E-2</v>
      </c>
      <c r="N67" s="102">
        <f>B67-'Table 3.15-Route UAA NoPARS'!B67-'Table 3.16-Route UAA PARS'!B67</f>
        <v>-1.6875389974302379E-14</v>
      </c>
      <c r="O67" s="102">
        <f>C67-'Table 3.15-Route UAA NoPARS'!C67-'Table 3.16-Route UAA PARS'!C67</f>
        <v>-5.1159076974727213E-13</v>
      </c>
      <c r="P67" s="102">
        <f>D67-'Table 3.15-Route UAA NoPARS'!D67-'Table 3.16-Route UAA PARS'!D67</f>
        <v>1.0004441719502211E-11</v>
      </c>
      <c r="Q67" s="102">
        <f>J67-'Table 3.15-Route UAA NoPARS'!J67-'Table 3.16-Route UAA PARS'!J67</f>
        <v>-9.6633812063373625E-13</v>
      </c>
    </row>
    <row r="68" spans="1:17" ht="5.15" customHeight="1" x14ac:dyDescent="0.25">
      <c r="A68" s="18"/>
      <c r="B68" s="34"/>
      <c r="C68" s="36"/>
      <c r="D68" s="34"/>
      <c r="E68" s="34"/>
      <c r="F68" s="31"/>
      <c r="G68" s="118"/>
      <c r="H68" s="39"/>
      <c r="I68" s="39"/>
      <c r="J68" s="32"/>
      <c r="K68" s="31"/>
    </row>
    <row r="69" spans="1:17" ht="12.75" customHeight="1" x14ac:dyDescent="0.25">
      <c r="A69" s="66" t="s">
        <v>389</v>
      </c>
      <c r="B69" s="34"/>
      <c r="C69" s="36"/>
      <c r="D69" s="34"/>
      <c r="E69" s="34"/>
      <c r="F69" s="61"/>
      <c r="G69" s="118"/>
      <c r="H69" s="39"/>
      <c r="I69" s="39"/>
      <c r="J69" s="36"/>
      <c r="K69" s="61"/>
    </row>
    <row r="70" spans="1:17" ht="12.75" customHeight="1" x14ac:dyDescent="0.25">
      <c r="A70" s="245" t="s">
        <v>135</v>
      </c>
      <c r="B70" s="34">
        <f t="shared" ref="B70:D73" si="1">SUM(B48,B56,B63)</f>
        <v>99.576914176148705</v>
      </c>
      <c r="C70" s="36">
        <f t="shared" si="1"/>
        <v>4912.228255447736</v>
      </c>
      <c r="D70" s="34">
        <f t="shared" si="1"/>
        <v>81153.734813221701</v>
      </c>
      <c r="E70" s="34"/>
      <c r="F70" s="61">
        <f>C70/D70</f>
        <v>6.0529909889586841E-2</v>
      </c>
      <c r="G70" s="118"/>
      <c r="H70" s="39">
        <v>1.305475124586952</v>
      </c>
      <c r="I70" s="39"/>
      <c r="J70" s="36">
        <f>C70*H70</f>
        <v>6412.7917937801794</v>
      </c>
      <c r="K70" s="61">
        <f>F70*(H70)</f>
        <v>7.9020291654345362E-2</v>
      </c>
      <c r="N70" s="102">
        <f>B70-'Table 3.15-Route UAA NoPARS'!B70-'Table 3.16-Route UAA PARS'!B70</f>
        <v>0</v>
      </c>
      <c r="O70" s="102">
        <f>C70-'Table 3.15-Route UAA NoPARS'!C70-'Table 3.16-Route UAA PARS'!C70</f>
        <v>0</v>
      </c>
      <c r="P70" s="102">
        <f>D70-'Table 3.15-Route UAA NoPARS'!D70-'Table 3.16-Route UAA PARS'!D70</f>
        <v>0</v>
      </c>
      <c r="Q70" s="102">
        <f>J70-'Table 3.15-Route UAA NoPARS'!J70-'Table 3.16-Route UAA PARS'!J70</f>
        <v>0</v>
      </c>
    </row>
    <row r="71" spans="1:17" ht="12.75" customHeight="1" x14ac:dyDescent="0.25">
      <c r="A71" s="246" t="s">
        <v>136</v>
      </c>
      <c r="B71" s="34">
        <f t="shared" si="1"/>
        <v>35.274028330272792</v>
      </c>
      <c r="C71" s="36">
        <f t="shared" si="1"/>
        <v>1665.1919365592753</v>
      </c>
      <c r="D71" s="34">
        <f t="shared" si="1"/>
        <v>37144.934953510005</v>
      </c>
      <c r="E71" s="34"/>
      <c r="F71" s="61">
        <f>C71/D71</f>
        <v>4.4829582785470008E-2</v>
      </c>
      <c r="G71" s="118"/>
      <c r="H71" s="39">
        <v>1.2169031925034866</v>
      </c>
      <c r="I71" s="39"/>
      <c r="J71" s="36">
        <f>C71*H71</f>
        <v>2026.3773837300453</v>
      </c>
      <c r="K71" s="61">
        <f>F71*(H71)</f>
        <v>5.4553262410237793E-2</v>
      </c>
      <c r="N71" s="102">
        <f>B71-'Table 3.15-Route UAA NoPARS'!B71-'Table 3.16-Route UAA PARS'!B71</f>
        <v>0</v>
      </c>
      <c r="O71" s="102">
        <f>C71-'Table 3.15-Route UAA NoPARS'!C71-'Table 3.16-Route UAA PARS'!C71</f>
        <v>0</v>
      </c>
      <c r="P71" s="102">
        <f>D71-'Table 3.15-Route UAA NoPARS'!D71-'Table 3.16-Route UAA PARS'!D71</f>
        <v>0</v>
      </c>
      <c r="Q71" s="102">
        <f>J71-'Table 3.15-Route UAA NoPARS'!J71-'Table 3.16-Route UAA PARS'!J71</f>
        <v>0</v>
      </c>
    </row>
    <row r="72" spans="1:17" ht="12.75" customHeight="1" x14ac:dyDescent="0.25">
      <c r="A72" s="245" t="s">
        <v>137</v>
      </c>
      <c r="B72" s="34">
        <f t="shared" si="1"/>
        <v>16.4004239216153</v>
      </c>
      <c r="C72" s="36">
        <f t="shared" si="1"/>
        <v>1389.0081209103791</v>
      </c>
      <c r="D72" s="34">
        <f t="shared" si="1"/>
        <v>13607.312736761916</v>
      </c>
      <c r="E72" s="34"/>
      <c r="F72" s="61">
        <f>C72/D72</f>
        <v>0.10207806256688684</v>
      </c>
      <c r="G72" s="118"/>
      <c r="H72" s="39">
        <v>1.5638897968218963</v>
      </c>
      <c r="I72" s="39"/>
      <c r="J72" s="36">
        <f>C72*H72</f>
        <v>2172.255627994497</v>
      </c>
      <c r="K72" s="61">
        <f>F72*(H72)</f>
        <v>0.15963884052770147</v>
      </c>
      <c r="N72" s="102">
        <f>B72-'Table 3.15-Route UAA NoPARS'!B72-'Table 3.16-Route UAA PARS'!B72</f>
        <v>0</v>
      </c>
      <c r="O72" s="102">
        <f>C72-'Table 3.15-Route UAA NoPARS'!C72-'Table 3.16-Route UAA PARS'!C72</f>
        <v>0</v>
      </c>
      <c r="P72" s="102">
        <f>D72-'Table 3.15-Route UAA NoPARS'!D72-'Table 3.16-Route UAA PARS'!D72</f>
        <v>0</v>
      </c>
      <c r="Q72" s="102">
        <f>J72-'Table 3.15-Route UAA NoPARS'!J72-'Table 3.16-Route UAA PARS'!J72</f>
        <v>0</v>
      </c>
    </row>
    <row r="73" spans="1:17" ht="12.75" customHeight="1" x14ac:dyDescent="0.25">
      <c r="A73" s="245" t="s">
        <v>107</v>
      </c>
      <c r="B73" s="34">
        <f t="shared" si="1"/>
        <v>0.53117027598483535</v>
      </c>
      <c r="C73" s="36">
        <f t="shared" si="1"/>
        <v>23.321030967114194</v>
      </c>
      <c r="D73" s="34">
        <f t="shared" si="1"/>
        <v>631.42179246522051</v>
      </c>
      <c r="E73" s="34"/>
      <c r="F73" s="61">
        <f>C73/D73</f>
        <v>3.6934155972132912E-2</v>
      </c>
      <c r="G73" s="118"/>
      <c r="H73" s="39">
        <v>1.2169031925034866</v>
      </c>
      <c r="I73" s="39"/>
      <c r="J73" s="36">
        <f>C73*H73</f>
        <v>28.379437036353934</v>
      </c>
      <c r="K73" s="61">
        <f>F73*(H73)</f>
        <v>4.4945292314910255E-2</v>
      </c>
      <c r="N73" s="102">
        <f>B73-'Table 3.15-Route UAA NoPARS'!B73-'Table 3.16-Route UAA PARS'!B73</f>
        <v>0</v>
      </c>
      <c r="O73" s="102">
        <f>C73-'Table 3.15-Route UAA NoPARS'!C73-'Table 3.16-Route UAA PARS'!C73</f>
        <v>0</v>
      </c>
      <c r="P73" s="102">
        <f>D73-'Table 3.15-Route UAA NoPARS'!D73-'Table 3.16-Route UAA PARS'!D73</f>
        <v>0</v>
      </c>
      <c r="Q73" s="102">
        <f>J73-'Table 3.15-Route UAA NoPARS'!J73-'Table 3.16-Route UAA PARS'!J73</f>
        <v>0</v>
      </c>
    </row>
    <row r="74" spans="1:17" ht="12.75" customHeight="1" x14ac:dyDescent="0.25">
      <c r="A74" s="245" t="s">
        <v>102</v>
      </c>
      <c r="B74" s="34">
        <f>SUM(B70:B73)</f>
        <v>151.78253670402162</v>
      </c>
      <c r="C74" s="36">
        <f>SUM(C70:C73)</f>
        <v>7989.7493438845049</v>
      </c>
      <c r="D74" s="34">
        <f>SUM(D70:D73)</f>
        <v>132537.40429595884</v>
      </c>
      <c r="E74" s="34"/>
      <c r="F74" s="31"/>
      <c r="G74" s="118"/>
      <c r="H74" s="39"/>
      <c r="I74" s="39"/>
      <c r="J74" s="36">
        <f>SUM(J70:J73)</f>
        <v>10639.804242541075</v>
      </c>
      <c r="K74" s="61">
        <f>SUMPRODUCT(K70:K73,D70:D73)/D74</f>
        <v>8.0277747244711137E-2</v>
      </c>
      <c r="N74" s="102">
        <f>B74-'Table 3.15-Route UAA NoPARS'!B74-'Table 3.16-Route UAA PARS'!B74</f>
        <v>0</v>
      </c>
      <c r="O74" s="102">
        <f>C74-'Table 3.15-Route UAA NoPARS'!C74-'Table 3.16-Route UAA PARS'!C74</f>
        <v>0</v>
      </c>
      <c r="P74" s="102">
        <f>D74-'Table 3.15-Route UAA NoPARS'!D74-'Table 3.16-Route UAA PARS'!D74</f>
        <v>0</v>
      </c>
      <c r="Q74" s="102">
        <f>J74-'Table 3.15-Route UAA NoPARS'!J74-'Table 3.16-Route UAA PARS'!J74</f>
        <v>0</v>
      </c>
    </row>
    <row r="75" spans="1:17" ht="5.15" customHeight="1" x14ac:dyDescent="0.25">
      <c r="A75" s="18"/>
      <c r="B75" s="34"/>
      <c r="C75" s="36"/>
      <c r="D75" s="34"/>
      <c r="E75" s="34"/>
      <c r="F75" s="31"/>
      <c r="G75" s="118"/>
      <c r="H75" s="39"/>
      <c r="I75" s="39"/>
      <c r="J75" s="32"/>
      <c r="K75" s="31"/>
    </row>
    <row r="76" spans="1:17" x14ac:dyDescent="0.25">
      <c r="A76" s="59"/>
      <c r="B76" s="34"/>
      <c r="C76" s="36"/>
      <c r="D76" s="34"/>
      <c r="E76" s="34"/>
      <c r="F76" s="61"/>
      <c r="G76" s="118"/>
      <c r="H76" s="39"/>
      <c r="I76" s="39"/>
      <c r="J76" s="36"/>
      <c r="K76" s="61"/>
      <c r="L76" s="62"/>
    </row>
    <row r="77" spans="1:17" ht="13" x14ac:dyDescent="0.3">
      <c r="A77" s="14" t="s">
        <v>285</v>
      </c>
      <c r="B77" s="20"/>
      <c r="C77" s="32"/>
      <c r="D77" s="30"/>
      <c r="E77" s="30"/>
      <c r="F77" s="31"/>
      <c r="G77" s="118"/>
      <c r="H77" s="39"/>
      <c r="I77" s="39"/>
      <c r="J77" s="32"/>
      <c r="K77" s="31"/>
    </row>
    <row r="78" spans="1:17" x14ac:dyDescent="0.25">
      <c r="A78" s="245" t="s">
        <v>135</v>
      </c>
      <c r="B78" s="34">
        <v>545.66312595812121</v>
      </c>
      <c r="C78" s="36">
        <v>32168.79342683934</v>
      </c>
      <c r="D78" s="34">
        <v>1074375.8589313284</v>
      </c>
      <c r="E78" s="34"/>
      <c r="F78" s="61">
        <f>C78/D78</f>
        <v>2.9941843126331354E-2</v>
      </c>
      <c r="G78" s="118"/>
      <c r="H78" s="39">
        <v>1.305475124586952</v>
      </c>
      <c r="I78" s="39"/>
      <c r="J78" s="36">
        <f>C78*H78</f>
        <v>41995.559606715011</v>
      </c>
      <c r="K78" s="61">
        <f>F78*(H78)</f>
        <v>3.9088331385710398E-2</v>
      </c>
      <c r="M78" s="48"/>
      <c r="N78" s="102">
        <f>B78-'Table 3.15-Route UAA NoPARS'!B78-'Table 3.16-Route UAA PARS'!B78</f>
        <v>0</v>
      </c>
      <c r="O78" s="102">
        <f>C78-'Table 3.15-Route UAA NoPARS'!C78-'Table 3.16-Route UAA PARS'!C78</f>
        <v>0</v>
      </c>
      <c r="P78" s="102">
        <f>D78-'Table 3.15-Route UAA NoPARS'!D78-'Table 3.16-Route UAA PARS'!D78</f>
        <v>0</v>
      </c>
      <c r="Q78" s="102">
        <f>J78-'Table 3.15-Route UAA NoPARS'!J78-'Table 3.16-Route UAA PARS'!J78</f>
        <v>0</v>
      </c>
    </row>
    <row r="79" spans="1:17" x14ac:dyDescent="0.25">
      <c r="A79" s="246" t="s">
        <v>136</v>
      </c>
      <c r="B79" s="34">
        <v>166.36451958971062</v>
      </c>
      <c r="C79" s="36">
        <v>7054.1593525361404</v>
      </c>
      <c r="D79" s="34">
        <v>379405.86830478779</v>
      </c>
      <c r="E79" s="34"/>
      <c r="F79" s="61">
        <f>C79/D79</f>
        <v>1.8592646929934484E-2</v>
      </c>
      <c r="G79" s="118"/>
      <c r="H79" s="39">
        <v>1.2169031925034866</v>
      </c>
      <c r="I79" s="39"/>
      <c r="J79" s="36">
        <f>C79*H79</f>
        <v>8584.2290365295576</v>
      </c>
      <c r="K79" s="61">
        <f>F79*(H79)</f>
        <v>2.2625451406127421E-2</v>
      </c>
      <c r="M79" s="48"/>
      <c r="N79" s="102">
        <f>B79-'Table 3.15-Route UAA NoPARS'!B79-'Table 3.16-Route UAA PARS'!B79</f>
        <v>0</v>
      </c>
      <c r="O79" s="102">
        <f>C79-'Table 3.15-Route UAA NoPARS'!C79-'Table 3.16-Route UAA PARS'!C79</f>
        <v>0</v>
      </c>
      <c r="P79" s="102">
        <f>D79-'Table 3.15-Route UAA NoPARS'!D79-'Table 3.16-Route UAA PARS'!D79</f>
        <v>0</v>
      </c>
      <c r="Q79" s="102">
        <f>J79-'Table 3.15-Route UAA NoPARS'!J79-'Table 3.16-Route UAA PARS'!J79</f>
        <v>0</v>
      </c>
    </row>
    <row r="80" spans="1:17" x14ac:dyDescent="0.25">
      <c r="A80" s="245" t="s">
        <v>137</v>
      </c>
      <c r="B80" s="34">
        <v>60.032274927666897</v>
      </c>
      <c r="C80" s="36">
        <v>2893.3755546887619</v>
      </c>
      <c r="D80" s="34">
        <v>151120.8986873996</v>
      </c>
      <c r="E80" s="34"/>
      <c r="F80" s="61">
        <f>C80/D80</f>
        <v>1.9146098122893244E-2</v>
      </c>
      <c r="G80" s="118"/>
      <c r="H80" s="39">
        <v>1.5638897968218963</v>
      </c>
      <c r="I80" s="39"/>
      <c r="J80" s="36">
        <f>C80*H80</f>
        <v>4524.920508351649</v>
      </c>
      <c r="K80" s="61">
        <f>F80*(H80)</f>
        <v>2.9942387503343607E-2</v>
      </c>
      <c r="M80" s="48"/>
      <c r="N80" s="102">
        <f>B80-'Table 3.15-Route UAA NoPARS'!B80-'Table 3.16-Route UAA PARS'!B80</f>
        <v>0</v>
      </c>
      <c r="O80" s="102">
        <f>C80-'Table 3.15-Route UAA NoPARS'!C80-'Table 3.16-Route UAA PARS'!C80</f>
        <v>0</v>
      </c>
      <c r="P80" s="102">
        <f>D80-'Table 3.15-Route UAA NoPARS'!D80-'Table 3.16-Route UAA PARS'!D80</f>
        <v>0</v>
      </c>
      <c r="Q80" s="102">
        <f>J80-'Table 3.15-Route UAA NoPARS'!J80-'Table 3.16-Route UAA PARS'!J80</f>
        <v>0</v>
      </c>
    </row>
    <row r="81" spans="1:18" x14ac:dyDescent="0.25">
      <c r="A81" s="245" t="s">
        <v>107</v>
      </c>
      <c r="B81" s="34">
        <v>4.4027673636065101</v>
      </c>
      <c r="C81" s="36">
        <v>193.30350109914383</v>
      </c>
      <c r="D81" s="34">
        <v>6822.0426955818057</v>
      </c>
      <c r="E81" s="34"/>
      <c r="F81" s="61">
        <f>C81/D81</f>
        <v>2.8335135050434963E-2</v>
      </c>
      <c r="G81" s="118"/>
      <c r="H81" s="39">
        <v>1.2169031925034866</v>
      </c>
      <c r="I81" s="39"/>
      <c r="J81" s="36">
        <f>C81*H81</f>
        <v>235.23164760964934</v>
      </c>
      <c r="K81" s="61">
        <f>F81*(H81)</f>
        <v>3.4481116302891746E-2</v>
      </c>
      <c r="M81" s="48"/>
      <c r="N81" s="102">
        <f>B81-'Table 3.15-Route UAA NoPARS'!B81-'Table 3.16-Route UAA PARS'!B81</f>
        <v>0</v>
      </c>
      <c r="O81" s="102">
        <f>C81-'Table 3.15-Route UAA NoPARS'!C81-'Table 3.16-Route UAA PARS'!C81</f>
        <v>0</v>
      </c>
      <c r="P81" s="102">
        <f>D81-'Table 3.15-Route UAA NoPARS'!D81-'Table 3.16-Route UAA PARS'!D81</f>
        <v>0</v>
      </c>
      <c r="Q81" s="102">
        <f>J81-'Table 3.15-Route UAA NoPARS'!J81-'Table 3.16-Route UAA PARS'!J81</f>
        <v>0</v>
      </c>
    </row>
    <row r="82" spans="1:18" x14ac:dyDescent="0.25">
      <c r="A82" s="245" t="s">
        <v>102</v>
      </c>
      <c r="B82" s="34">
        <f>SUM(B78:B81)</f>
        <v>776.46268783910523</v>
      </c>
      <c r="C82" s="36">
        <f>SUM(C78:C81)</f>
        <v>42309.631835163389</v>
      </c>
      <c r="D82" s="34">
        <f>SUM(D78:D81)</f>
        <v>1611724.6686190979</v>
      </c>
      <c r="E82" s="34"/>
      <c r="F82" s="61">
        <f>C82/D82</f>
        <v>2.6251153598966542E-2</v>
      </c>
      <c r="G82" s="118"/>
      <c r="H82" s="39"/>
      <c r="I82" s="39"/>
      <c r="J82" s="36">
        <f>SUM(J78:J81)</f>
        <v>55339.940799205862</v>
      </c>
      <c r="K82" s="61">
        <f>SUMPRODUCT(K78:K81,D78:D81)/D82</f>
        <v>3.4335852690410402E-2</v>
      </c>
      <c r="M82" s="48"/>
      <c r="N82" s="102">
        <f>B82-'Table 3.15-Route UAA NoPARS'!B82-'Table 3.16-Route UAA PARS'!B82</f>
        <v>0</v>
      </c>
      <c r="O82" s="102">
        <f>C82-'Table 3.15-Route UAA NoPARS'!C82-'Table 3.16-Route UAA PARS'!C82</f>
        <v>0</v>
      </c>
      <c r="P82" s="102">
        <f>D82-'Table 3.15-Route UAA NoPARS'!D82-'Table 3.16-Route UAA PARS'!D82</f>
        <v>0</v>
      </c>
      <c r="Q82" s="102">
        <f>J82-'Table 3.15-Route UAA NoPARS'!J82-'Table 3.16-Route UAA PARS'!J82</f>
        <v>0</v>
      </c>
    </row>
    <row r="83" spans="1:18" ht="5.15" customHeight="1" x14ac:dyDescent="0.25">
      <c r="B83" s="42"/>
      <c r="C83" s="36"/>
      <c r="D83" s="34"/>
      <c r="E83" s="34"/>
      <c r="F83" s="35"/>
      <c r="G83" s="20"/>
      <c r="H83" s="40"/>
      <c r="I83" s="40"/>
      <c r="J83" s="36"/>
      <c r="K83" s="31"/>
    </row>
    <row r="84" spans="1:18" ht="12.75" customHeight="1" x14ac:dyDescent="0.25"/>
    <row r="85" spans="1:18" ht="15.5" x14ac:dyDescent="0.35">
      <c r="A85" s="117" t="s">
        <v>64</v>
      </c>
    </row>
    <row r="86" spans="1:18" ht="15.5" x14ac:dyDescent="0.35">
      <c r="A86" s="117" t="s">
        <v>787</v>
      </c>
    </row>
    <row r="87" spans="1:18" ht="25" x14ac:dyDescent="0.25">
      <c r="B87" s="138" t="s">
        <v>223</v>
      </c>
      <c r="C87" s="107" t="s">
        <v>217</v>
      </c>
      <c r="D87" s="125" t="s">
        <v>222</v>
      </c>
      <c r="E87" s="125"/>
      <c r="F87" s="126" t="s">
        <v>207</v>
      </c>
      <c r="G87" s="118"/>
      <c r="H87" s="119" t="s">
        <v>246</v>
      </c>
      <c r="I87" s="118"/>
      <c r="J87" s="138" t="s">
        <v>110</v>
      </c>
      <c r="K87" s="31" t="s">
        <v>133</v>
      </c>
    </row>
    <row r="88" spans="1:18" x14ac:dyDescent="0.25">
      <c r="A88" s="17" t="s">
        <v>390</v>
      </c>
      <c r="B88" s="42"/>
      <c r="C88" s="36"/>
      <c r="D88" s="34"/>
      <c r="E88" s="34"/>
      <c r="F88" s="35"/>
      <c r="G88" s="20"/>
      <c r="H88" s="40"/>
      <c r="I88" s="40"/>
      <c r="J88" s="36"/>
      <c r="K88" s="31"/>
      <c r="N88" s="48"/>
    </row>
    <row r="89" spans="1:18" x14ac:dyDescent="0.25">
      <c r="A89" s="18" t="s">
        <v>186</v>
      </c>
      <c r="B89" s="42"/>
      <c r="C89" s="36"/>
      <c r="D89" s="34"/>
      <c r="E89" s="34"/>
      <c r="F89" s="35"/>
      <c r="G89" s="20"/>
      <c r="H89" s="40"/>
      <c r="I89" s="40"/>
      <c r="J89" s="36"/>
      <c r="K89" s="31"/>
      <c r="N89" s="257"/>
      <c r="O89" s="257"/>
      <c r="P89" s="257"/>
    </row>
    <row r="90" spans="1:18" x14ac:dyDescent="0.25">
      <c r="A90" s="59" t="s">
        <v>138</v>
      </c>
      <c r="B90" s="41" t="s">
        <v>106</v>
      </c>
      <c r="C90" s="36">
        <f>SUM('Table 3.17-No Record Mail'!F6,'Table 3.17-No Record Mail'!F12)</f>
        <v>758.52866331690063</v>
      </c>
      <c r="D90" s="30">
        <v>12629.467867040463</v>
      </c>
      <c r="E90" s="24" t="s">
        <v>239</v>
      </c>
      <c r="F90" s="61">
        <f>C90/D90</f>
        <v>6.0060223542470682E-2</v>
      </c>
      <c r="G90" s="205" t="s">
        <v>240</v>
      </c>
      <c r="H90" s="39">
        <v>1.3146614554631439</v>
      </c>
      <c r="I90" s="39"/>
      <c r="J90" s="36">
        <f>C90*H90</f>
        <v>997.20839652670963</v>
      </c>
      <c r="K90" s="61">
        <f>F90*(H90)</f>
        <v>7.8958860897786295E-2</v>
      </c>
      <c r="N90" s="257"/>
      <c r="O90" s="102">
        <f>C90-'Table 3.15-Route UAA NoPARS'!C90-'Table 3.16-Route UAA PARS'!C90</f>
        <v>0</v>
      </c>
      <c r="P90" s="102">
        <f>D90-'Table 3.15-Route UAA NoPARS'!D90-'Table 3.16-Route UAA PARS'!D90</f>
        <v>0</v>
      </c>
      <c r="Q90" s="102">
        <f>J90-'Table 3.15-Route UAA NoPARS'!J90-'Table 3.16-Route UAA PARS'!J90</f>
        <v>0</v>
      </c>
      <c r="R90" s="257"/>
    </row>
    <row r="91" spans="1:18" x14ac:dyDescent="0.25">
      <c r="A91" s="59" t="s">
        <v>781</v>
      </c>
      <c r="B91" s="41" t="s">
        <v>106</v>
      </c>
      <c r="C91" s="36">
        <f>SUM('Table 3.17-No Record Mail'!F7:F8,'Table 3.17-No Record Mail'!F13:F14)</f>
        <v>3259.7423288096979</v>
      </c>
      <c r="D91" s="30">
        <v>12629.467867040463</v>
      </c>
      <c r="E91" s="24" t="s">
        <v>239</v>
      </c>
      <c r="F91" s="61">
        <f>C91/D91</f>
        <v>0.25810607090713256</v>
      </c>
      <c r="G91" s="205" t="s">
        <v>240</v>
      </c>
      <c r="H91" s="248">
        <v>1.7351466784479892</v>
      </c>
      <c r="I91" s="39"/>
      <c r="J91" s="36">
        <f>C91*H91</f>
        <v>5656.1310744304601</v>
      </c>
      <c r="K91" s="61">
        <f>F91*(H91)</f>
        <v>0.44785189162177225</v>
      </c>
      <c r="L91" s="28"/>
      <c r="M91" s="334"/>
      <c r="O91" s="102">
        <f>C91-'Table 3.15-Route UAA NoPARS'!C91-'Table 3.16-Route UAA PARS'!C91</f>
        <v>0</v>
      </c>
      <c r="P91" s="102">
        <f>D91-'Table 3.15-Route UAA NoPARS'!D91-'Table 3.16-Route UAA PARS'!D91</f>
        <v>0</v>
      </c>
      <c r="Q91" s="102">
        <f>J91-'Table 3.15-Route UAA NoPARS'!J91-'Table 3.16-Route UAA PARS'!J91</f>
        <v>0</v>
      </c>
    </row>
    <row r="92" spans="1:18" x14ac:dyDescent="0.25">
      <c r="A92" s="18" t="s">
        <v>187</v>
      </c>
      <c r="B92" s="41"/>
      <c r="C92" s="32"/>
      <c r="D92" s="30"/>
      <c r="E92" s="30"/>
      <c r="F92" s="31"/>
      <c r="G92" s="118"/>
      <c r="H92" s="39"/>
      <c r="I92" s="39"/>
      <c r="J92" s="32"/>
      <c r="K92" s="31"/>
    </row>
    <row r="93" spans="1:18" x14ac:dyDescent="0.25">
      <c r="A93" s="59" t="s">
        <v>138</v>
      </c>
      <c r="B93" s="41" t="s">
        <v>106</v>
      </c>
      <c r="C93" s="36">
        <f>'Table 3.17-No Record Mail'!F18</f>
        <v>191.7741520731399</v>
      </c>
      <c r="D93" s="30">
        <v>3493.6642864085848</v>
      </c>
      <c r="E93" s="24" t="s">
        <v>239</v>
      </c>
      <c r="F93" s="61">
        <f>C93/D93</f>
        <v>5.4891980554399464E-2</v>
      </c>
      <c r="G93" s="205" t="s">
        <v>240</v>
      </c>
      <c r="H93" s="39">
        <v>1.3146614554631439</v>
      </c>
      <c r="I93" s="39"/>
      <c r="J93" s="36">
        <f>C93*H93</f>
        <v>252.1180858846844</v>
      </c>
      <c r="K93" s="61">
        <f>F93*(H93)</f>
        <v>7.2164371048901388E-2</v>
      </c>
      <c r="O93" s="102">
        <f>C93-'Table 3.15-Route UAA NoPARS'!C93-'Table 3.16-Route UAA PARS'!C93</f>
        <v>0</v>
      </c>
      <c r="P93" s="102">
        <f>D93-'Table 3.15-Route UAA NoPARS'!D93-'Table 3.16-Route UAA PARS'!D93</f>
        <v>0</v>
      </c>
      <c r="Q93" s="102">
        <f>J93-'Table 3.15-Route UAA NoPARS'!J93-'Table 3.16-Route UAA PARS'!J93</f>
        <v>0</v>
      </c>
    </row>
    <row r="94" spans="1:18" x14ac:dyDescent="0.25">
      <c r="A94" s="59" t="s">
        <v>781</v>
      </c>
      <c r="B94" s="41" t="s">
        <v>106</v>
      </c>
      <c r="C94" s="36">
        <f>SUM('Table 3.17-No Record Mail'!F19:F20)</f>
        <v>411.82113196517543</v>
      </c>
      <c r="D94" s="30">
        <v>3493.6642864085848</v>
      </c>
      <c r="E94" s="24" t="s">
        <v>239</v>
      </c>
      <c r="F94" s="61">
        <f>C94/D94</f>
        <v>0.11787656117025459</v>
      </c>
      <c r="G94" s="205" t="s">
        <v>240</v>
      </c>
      <c r="H94" s="248">
        <v>1.7351466784479892</v>
      </c>
      <c r="I94" s="40"/>
      <c r="J94" s="36">
        <f>C94*H94</f>
        <v>714.57006924406517</v>
      </c>
      <c r="K94" s="61">
        <f>F94*(H94)</f>
        <v>0.20453312358143846</v>
      </c>
      <c r="L94" s="28"/>
      <c r="M94" s="334"/>
      <c r="O94" s="102">
        <f>C94-'Table 3.15-Route UAA NoPARS'!C94-'Table 3.16-Route UAA PARS'!C94</f>
        <v>0</v>
      </c>
      <c r="P94" s="102">
        <f>D94-'Table 3.15-Route UAA NoPARS'!D94-'Table 3.16-Route UAA PARS'!D94</f>
        <v>0</v>
      </c>
      <c r="Q94" s="102">
        <f>J94-'Table 3.15-Route UAA NoPARS'!J94-'Table 3.16-Route UAA PARS'!J94</f>
        <v>0</v>
      </c>
    </row>
    <row r="95" spans="1:18" x14ac:dyDescent="0.25">
      <c r="A95" s="59"/>
      <c r="B95" s="42"/>
      <c r="C95" s="36"/>
      <c r="D95" s="34"/>
      <c r="E95" s="34"/>
      <c r="F95" s="35"/>
      <c r="G95" s="20"/>
      <c r="H95" s="40"/>
      <c r="I95" s="40"/>
      <c r="J95" s="36"/>
      <c r="K95" s="31"/>
    </row>
    <row r="96" spans="1:18" x14ac:dyDescent="0.25">
      <c r="A96" s="17" t="s">
        <v>391</v>
      </c>
      <c r="B96" s="42"/>
      <c r="C96" s="36"/>
      <c r="D96" s="34"/>
      <c r="E96" s="34"/>
      <c r="F96" s="35"/>
      <c r="G96" s="20"/>
      <c r="H96" s="40"/>
      <c r="I96" s="40"/>
      <c r="J96" s="36"/>
      <c r="K96" s="31"/>
    </row>
    <row r="97" spans="1:17" ht="5.15" customHeight="1" x14ac:dyDescent="0.25">
      <c r="A97" s="17"/>
      <c r="B97" s="42"/>
      <c r="C97" s="36"/>
      <c r="D97" s="34"/>
      <c r="E97" s="34"/>
      <c r="F97" s="35"/>
      <c r="G97" s="20"/>
      <c r="H97" s="40"/>
      <c r="I97" s="40"/>
      <c r="J97" s="36"/>
      <c r="K97" s="31"/>
    </row>
    <row r="98" spans="1:17" x14ac:dyDescent="0.25">
      <c r="A98" s="60" t="s">
        <v>284</v>
      </c>
      <c r="B98" s="42"/>
      <c r="C98" s="36"/>
      <c r="D98" s="34"/>
      <c r="E98" s="34"/>
      <c r="F98" s="35"/>
      <c r="G98" s="20"/>
      <c r="H98" s="40"/>
      <c r="I98" s="40"/>
      <c r="J98" s="36"/>
      <c r="K98" s="31"/>
    </row>
    <row r="99" spans="1:17" x14ac:dyDescent="0.25">
      <c r="A99" s="246" t="s">
        <v>280</v>
      </c>
      <c r="B99" s="41" t="s">
        <v>106</v>
      </c>
      <c r="C99" s="36" t="s">
        <v>106</v>
      </c>
      <c r="D99" s="30">
        <f>D11</f>
        <v>881882.53659225802</v>
      </c>
      <c r="E99" s="30"/>
      <c r="F99" s="41" t="s">
        <v>106</v>
      </c>
      <c r="G99" s="118"/>
      <c r="H99" s="41" t="s">
        <v>106</v>
      </c>
      <c r="I99" s="39"/>
      <c r="J99" s="36">
        <f>J11+SUM($J$90:$J$91)*D99/SUM($D$103,$D$109)</f>
        <v>68392.485127564549</v>
      </c>
      <c r="K99" s="61">
        <f>J99/D99</f>
        <v>7.7552828511430305E-2</v>
      </c>
      <c r="P99" s="102">
        <f>D99-'Table 3.15-Route UAA NoPARS'!D99-'Table 3.16-Route UAA PARS'!D99</f>
        <v>0</v>
      </c>
      <c r="Q99" s="102">
        <f>J99-'Table 3.15-Route UAA NoPARS'!J99-'Table 3.16-Route UAA PARS'!J99</f>
        <v>0</v>
      </c>
    </row>
    <row r="100" spans="1:17" x14ac:dyDescent="0.25">
      <c r="A100" s="246" t="s">
        <v>287</v>
      </c>
      <c r="B100" s="41" t="s">
        <v>106</v>
      </c>
      <c r="C100" s="36" t="s">
        <v>106</v>
      </c>
      <c r="D100" s="30">
        <f>D18</f>
        <v>106998.78725925891</v>
      </c>
      <c r="E100" s="30"/>
      <c r="F100" s="41" t="s">
        <v>106</v>
      </c>
      <c r="G100" s="118"/>
      <c r="H100" s="41" t="s">
        <v>106</v>
      </c>
      <c r="I100" s="39"/>
      <c r="J100" s="36">
        <f>J18+SUM($J$90:$J$91)*D100/SUM($D$103,$D$109)</f>
        <v>8172.014116164929</v>
      </c>
      <c r="K100" s="61">
        <f>J100/D100</f>
        <v>7.6374829336748218E-2</v>
      </c>
      <c r="P100" s="102">
        <f>D100-'Table 3.15-Route UAA NoPARS'!D100-'Table 3.16-Route UAA PARS'!D100</f>
        <v>0</v>
      </c>
      <c r="Q100" s="102">
        <f>J100-'Table 3.15-Route UAA NoPARS'!J100-'Table 3.16-Route UAA PARS'!J100</f>
        <v>0</v>
      </c>
    </row>
    <row r="101" spans="1:17" x14ac:dyDescent="0.25">
      <c r="A101" s="246" t="s">
        <v>282</v>
      </c>
      <c r="B101" s="41" t="s">
        <v>106</v>
      </c>
      <c r="C101" s="36" t="s">
        <v>106</v>
      </c>
      <c r="D101" s="30">
        <f>D25</f>
        <v>305315.46250547213</v>
      </c>
      <c r="E101" s="30"/>
      <c r="F101" s="41" t="s">
        <v>106</v>
      </c>
      <c r="G101" s="118"/>
      <c r="H101" s="41" t="s">
        <v>106</v>
      </c>
      <c r="I101" s="39"/>
      <c r="J101" s="36">
        <f>J25+SUM($J$90:$J$91)*D101/SUM($D$103,$D$109)</f>
        <v>24974.616972031159</v>
      </c>
      <c r="K101" s="61">
        <f>J101/D101</f>
        <v>8.1799384698976851E-2</v>
      </c>
      <c r="P101" s="102">
        <f>D101-'Table 3.15-Route UAA NoPARS'!D101-'Table 3.16-Route UAA PARS'!D101</f>
        <v>0</v>
      </c>
      <c r="Q101" s="102">
        <f>J101-'Table 3.15-Route UAA NoPARS'!J101-'Table 3.16-Route UAA PARS'!J101</f>
        <v>0</v>
      </c>
    </row>
    <row r="102" spans="1:17" x14ac:dyDescent="0.25">
      <c r="A102" s="246" t="s">
        <v>276</v>
      </c>
      <c r="B102" s="41" t="s">
        <v>106</v>
      </c>
      <c r="C102" s="36" t="s">
        <v>106</v>
      </c>
      <c r="D102" s="30">
        <f>D32</f>
        <v>36102.169892335434</v>
      </c>
      <c r="E102" s="30"/>
      <c r="F102" s="41" t="s">
        <v>106</v>
      </c>
      <c r="G102" s="118"/>
      <c r="H102" s="41" t="s">
        <v>106</v>
      </c>
      <c r="I102" s="39"/>
      <c r="J102" s="36">
        <f>J32+SUM($J$90:$J$91)*D102/SUM($D$103,$D$109)</f>
        <v>4075.8154672403275</v>
      </c>
      <c r="K102" s="61">
        <f>J102/D102</f>
        <v>0.11289668957282348</v>
      </c>
      <c r="P102" s="102">
        <f>D102-'Table 3.15-Route UAA NoPARS'!D102-'Table 3.16-Route UAA PARS'!D102</f>
        <v>0</v>
      </c>
      <c r="Q102" s="102">
        <f>J102-'Table 3.15-Route UAA NoPARS'!J102-'Table 3.16-Route UAA PARS'!J102</f>
        <v>0</v>
      </c>
    </row>
    <row r="103" spans="1:17" x14ac:dyDescent="0.25">
      <c r="A103" s="246" t="s">
        <v>281</v>
      </c>
      <c r="B103" s="41"/>
      <c r="C103" s="36"/>
      <c r="D103" s="30">
        <f>SUM(D99:D102)</f>
        <v>1330298.9562493246</v>
      </c>
      <c r="E103" s="30"/>
      <c r="F103" s="41"/>
      <c r="G103" s="118"/>
      <c r="H103" s="41"/>
      <c r="I103" s="39"/>
      <c r="J103" s="36">
        <f>SUM(J99:J102)</f>
        <v>105614.93168300096</v>
      </c>
      <c r="K103" s="61">
        <f>J103/D103</f>
        <v>7.939187743240371E-2</v>
      </c>
      <c r="P103" s="102">
        <f>D103-'Table 3.15-Route UAA NoPARS'!D103-'Table 3.16-Route UAA PARS'!D103</f>
        <v>0</v>
      </c>
      <c r="Q103" s="102">
        <f>J103-'Table 3.15-Route UAA NoPARS'!J103-'Table 3.16-Route UAA PARS'!J103</f>
        <v>0</v>
      </c>
    </row>
    <row r="104" spans="1:17" ht="5.15" customHeight="1" x14ac:dyDescent="0.25">
      <c r="A104" s="18"/>
      <c r="B104" s="41"/>
      <c r="C104" s="36"/>
      <c r="D104" s="30"/>
      <c r="E104" s="30"/>
      <c r="F104" s="41"/>
      <c r="G104" s="118"/>
      <c r="H104" s="41"/>
      <c r="I104" s="39"/>
      <c r="J104" s="36"/>
      <c r="K104" s="61"/>
    </row>
    <row r="105" spans="1:17" x14ac:dyDescent="0.25">
      <c r="A105" s="60" t="s">
        <v>392</v>
      </c>
    </row>
    <row r="106" spans="1:17" x14ac:dyDescent="0.25">
      <c r="A106" s="246" t="s">
        <v>386</v>
      </c>
      <c r="B106" s="41" t="s">
        <v>106</v>
      </c>
      <c r="C106" s="36" t="s">
        <v>106</v>
      </c>
      <c r="D106" s="30">
        <f>D52</f>
        <v>46981.720928404095</v>
      </c>
      <c r="E106" s="30"/>
      <c r="F106" s="41" t="s">
        <v>106</v>
      </c>
      <c r="G106" s="118"/>
      <c r="H106" s="41" t="s">
        <v>106</v>
      </c>
      <c r="I106" s="39"/>
      <c r="J106" s="36">
        <f>J52+SUM($J$90:$J$91)*D106/SUM($D$103,$D$109)</f>
        <v>3837.5511388164455</v>
      </c>
      <c r="K106" s="61">
        <f t="shared" ref="K106:K111" si="2">J106/D106</f>
        <v>8.1681791619862693E-2</v>
      </c>
      <c r="P106" s="102">
        <f>D106-'Table 3.15-Route UAA NoPARS'!D106-'Table 3.16-Route UAA PARS'!D106</f>
        <v>0</v>
      </c>
      <c r="Q106" s="102">
        <f>J106-'Table 3.15-Route UAA NoPARS'!J106-'Table 3.16-Route UAA PARS'!J106</f>
        <v>0</v>
      </c>
    </row>
    <row r="107" spans="1:17" x14ac:dyDescent="0.25">
      <c r="A107" s="246" t="s">
        <v>393</v>
      </c>
      <c r="B107" s="41" t="s">
        <v>106</v>
      </c>
      <c r="C107" s="36" t="s">
        <v>106</v>
      </c>
      <c r="D107" s="30">
        <f>D60</f>
        <v>39522.836763270912</v>
      </c>
      <c r="E107" s="30"/>
      <c r="F107" s="41" t="s">
        <v>106</v>
      </c>
      <c r="G107" s="118"/>
      <c r="H107" s="41" t="s">
        <v>106</v>
      </c>
      <c r="I107" s="39"/>
      <c r="J107" s="36">
        <f>J60+SUM($J$90:$J$91)*D107/SUM($D$103,$D$109)</f>
        <v>2942.7726724343156</v>
      </c>
      <c r="K107" s="61">
        <f t="shared" si="2"/>
        <v>7.445752667149319E-2</v>
      </c>
      <c r="P107" s="102">
        <f>D107-'Table 3.15-Route UAA NoPARS'!D107-'Table 3.16-Route UAA PARS'!D107</f>
        <v>0</v>
      </c>
      <c r="Q107" s="102">
        <f>J107-'Table 3.15-Route UAA NoPARS'!J107-'Table 3.16-Route UAA PARS'!J107</f>
        <v>0</v>
      </c>
    </row>
    <row r="108" spans="1:17" x14ac:dyDescent="0.25">
      <c r="A108" s="246" t="s">
        <v>388</v>
      </c>
      <c r="B108" s="41" t="s">
        <v>106</v>
      </c>
      <c r="C108" s="36" t="s">
        <v>106</v>
      </c>
      <c r="D108" s="30">
        <f>D67</f>
        <v>46032.846604283834</v>
      </c>
      <c r="E108" s="30"/>
      <c r="F108" s="41" t="s">
        <v>106</v>
      </c>
      <c r="G108" s="118"/>
      <c r="H108" s="41" t="s">
        <v>106</v>
      </c>
      <c r="I108" s="39"/>
      <c r="J108" s="36">
        <f>J67+SUM($J$90:$J$91)*D108/SUM($D$103,$D$109)</f>
        <v>4462.293136227323</v>
      </c>
      <c r="K108" s="61">
        <f t="shared" si="2"/>
        <v>9.6937153910704718E-2</v>
      </c>
      <c r="P108" s="102">
        <f>D108-'Table 3.15-Route UAA NoPARS'!D108-'Table 3.16-Route UAA PARS'!D108</f>
        <v>1.0004441719502211E-11</v>
      </c>
      <c r="Q108" s="102">
        <f>J108-'Table 3.15-Route UAA NoPARS'!J108-'Table 3.16-Route UAA PARS'!J108</f>
        <v>-1.4210854715202004E-12</v>
      </c>
    </row>
    <row r="109" spans="1:17" x14ac:dyDescent="0.25">
      <c r="A109" s="246" t="s">
        <v>394</v>
      </c>
      <c r="B109" s="41"/>
      <c r="C109" s="36"/>
      <c r="D109" s="30">
        <f>SUM(D106:D108)</f>
        <v>132537.40429595884</v>
      </c>
      <c r="E109" s="30"/>
      <c r="F109" s="41"/>
      <c r="G109" s="118"/>
      <c r="H109" s="41"/>
      <c r="I109" s="39"/>
      <c r="J109" s="36">
        <f>SUM(J106:J108)</f>
        <v>11242.616947478084</v>
      </c>
      <c r="K109" s="61">
        <f t="shared" si="2"/>
        <v>8.4825993139061945E-2</v>
      </c>
      <c r="P109" s="102">
        <f>D109-'Table 3.15-Route UAA NoPARS'!D109-'Table 3.16-Route UAA PARS'!D109</f>
        <v>0</v>
      </c>
      <c r="Q109" s="102">
        <f>J109-'Table 3.15-Route UAA NoPARS'!J109-'Table 3.16-Route UAA PARS'!J109</f>
        <v>0</v>
      </c>
    </row>
    <row r="110" spans="1:17" ht="5.15" customHeight="1" x14ac:dyDescent="0.25">
      <c r="A110" s="18"/>
      <c r="B110" s="41"/>
      <c r="C110" s="36"/>
      <c r="D110" s="30"/>
      <c r="E110" s="30"/>
      <c r="F110" s="41"/>
      <c r="G110" s="118"/>
      <c r="H110" s="41"/>
      <c r="I110" s="39"/>
      <c r="J110" s="36"/>
      <c r="K110" s="61"/>
    </row>
    <row r="111" spans="1:17" x14ac:dyDescent="0.25">
      <c r="A111" s="60" t="s">
        <v>286</v>
      </c>
      <c r="B111" s="41" t="s">
        <v>106</v>
      </c>
      <c r="C111" s="36" t="s">
        <v>106</v>
      </c>
      <c r="D111" s="30">
        <f>D82</f>
        <v>1611724.6686190979</v>
      </c>
      <c r="E111" s="30"/>
      <c r="F111" s="41"/>
      <c r="G111" s="118"/>
      <c r="H111" s="41"/>
      <c r="I111" s="39"/>
      <c r="J111" s="36">
        <f>SUM(J93:J94)+J82</f>
        <v>56306.628954334614</v>
      </c>
      <c r="K111" s="61">
        <f t="shared" si="2"/>
        <v>3.4935637612705468E-2</v>
      </c>
      <c r="P111" s="102">
        <f>D111-'Table 3.15-Route UAA NoPARS'!D111-'Table 3.16-Route UAA PARS'!D111</f>
        <v>0</v>
      </c>
      <c r="Q111" s="102">
        <f>J111-'Table 3.15-Route UAA NoPARS'!J111-'Table 3.16-Route UAA PARS'!J111</f>
        <v>0</v>
      </c>
    </row>
    <row r="112" spans="1:17" hidden="1" x14ac:dyDescent="0.25">
      <c r="A112" s="249"/>
      <c r="B112" s="41"/>
      <c r="C112" s="36"/>
      <c r="D112" s="30"/>
      <c r="E112" s="30"/>
      <c r="F112" s="41"/>
      <c r="G112" s="118"/>
      <c r="H112" s="41"/>
      <c r="I112" s="39"/>
      <c r="J112" s="36"/>
      <c r="K112" s="61"/>
    </row>
    <row r="113" spans="1:11" hidden="1" x14ac:dyDescent="0.25">
      <c r="B113" s="50"/>
      <c r="C113" s="51"/>
      <c r="K113" s="52"/>
    </row>
    <row r="114" spans="1:11" hidden="1" x14ac:dyDescent="0.25">
      <c r="A114" s="93" t="s">
        <v>191</v>
      </c>
      <c r="B114" s="247">
        <v>0</v>
      </c>
      <c r="C114" s="247">
        <v>0</v>
      </c>
      <c r="D114" s="247">
        <v>0</v>
      </c>
      <c r="E114" s="94"/>
      <c r="H114" s="92"/>
      <c r="I114" s="93"/>
      <c r="J114" s="247">
        <f>SUM(J103,J109)-J39-J74-SUM(J90:J91)</f>
        <v>1.0913936421275139E-11</v>
      </c>
    </row>
    <row r="115" spans="1:11" hidden="1" x14ac:dyDescent="0.25">
      <c r="A115" s="93"/>
      <c r="B115" s="247">
        <v>0</v>
      </c>
      <c r="C115" s="247">
        <v>0</v>
      </c>
      <c r="D115" s="247">
        <v>0</v>
      </c>
      <c r="E115" s="94"/>
      <c r="H115" s="92"/>
      <c r="I115" s="93"/>
      <c r="J115" s="247">
        <f>J111-J82-J93-J94</f>
        <v>1.9326762412674725E-12</v>
      </c>
    </row>
    <row r="116" spans="1:11" hidden="1" x14ac:dyDescent="0.25">
      <c r="B116" s="247">
        <v>0</v>
      </c>
      <c r="C116" s="247">
        <v>0</v>
      </c>
      <c r="D116" s="247">
        <v>0</v>
      </c>
      <c r="H116" s="93"/>
      <c r="I116" s="93"/>
      <c r="J116" s="247">
        <v>0</v>
      </c>
    </row>
    <row r="117" spans="1:11" hidden="1" x14ac:dyDescent="0.25">
      <c r="B117" s="247">
        <v>0</v>
      </c>
      <c r="C117" s="247">
        <v>0</v>
      </c>
      <c r="D117" s="247">
        <v>0</v>
      </c>
      <c r="H117" s="20"/>
      <c r="I117" s="20"/>
      <c r="J117" s="247">
        <v>0</v>
      </c>
    </row>
    <row r="118" spans="1:11" hidden="1" x14ac:dyDescent="0.25">
      <c r="B118" s="247"/>
      <c r="C118" s="247"/>
      <c r="D118" s="247">
        <v>6.9849193096160889E-10</v>
      </c>
      <c r="H118" s="20"/>
      <c r="I118" s="20"/>
      <c r="J118" s="247">
        <v>0</v>
      </c>
    </row>
    <row r="119" spans="1:11" x14ac:dyDescent="0.25">
      <c r="A119" s="103"/>
      <c r="B119" s="210"/>
      <c r="C119" s="211"/>
      <c r="D119" s="203"/>
    </row>
    <row r="120" spans="1:11" x14ac:dyDescent="0.25">
      <c r="A120" s="4" t="s">
        <v>235</v>
      </c>
    </row>
    <row r="121" spans="1:11" x14ac:dyDescent="0.25">
      <c r="A121" s="17" t="s">
        <v>796</v>
      </c>
    </row>
    <row r="122" spans="1:11" x14ac:dyDescent="0.25">
      <c r="A122" s="17" t="s">
        <v>795</v>
      </c>
    </row>
    <row r="123" spans="1:11" x14ac:dyDescent="0.25">
      <c r="A123" s="17" t="s">
        <v>797</v>
      </c>
    </row>
    <row r="124" spans="1:11" x14ac:dyDescent="0.25">
      <c r="A124" s="17" t="s">
        <v>91</v>
      </c>
    </row>
  </sheetData>
  <phoneticPr fontId="0" type="noConversion"/>
  <printOptions horizontalCentered="1"/>
  <pageMargins left="0.75" right="0.75" top="1" bottom="1" header="0.5" footer="0.5"/>
  <pageSetup scale="92" fitToHeight="3" orientation="landscape" r:id="rId1"/>
  <headerFooter alignWithMargins="0">
    <oddFooter>&amp;L&amp;F</oddFooter>
  </headerFooter>
  <rowBreaks count="2" manualBreakCount="2">
    <brk id="41" max="10" man="1"/>
    <brk id="84" max="10"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8"/>
  <dimension ref="A1:N124"/>
  <sheetViews>
    <sheetView zoomScale="70" zoomScaleNormal="70" workbookViewId="0"/>
  </sheetViews>
  <sheetFormatPr defaultColWidth="9.08984375" defaultRowHeight="12.5" x14ac:dyDescent="0.25"/>
  <cols>
    <col min="1" max="1" width="43.36328125" style="4" customWidth="1"/>
    <col min="2" max="2" width="11.6328125" style="47" customWidth="1"/>
    <col min="3" max="3" width="11.6328125" style="29" customWidth="1"/>
    <col min="4" max="4" width="11.6328125" style="24" customWidth="1"/>
    <col min="5" max="5" width="2.6328125" style="24" customWidth="1"/>
    <col min="6" max="6" width="11.6328125" style="28" customWidth="1"/>
    <col min="7" max="7" width="2.6328125" style="2" customWidth="1"/>
    <col min="8" max="8" width="11.6328125" style="4" customWidth="1"/>
    <col min="9" max="9" width="2.36328125" style="2" customWidth="1"/>
    <col min="10" max="10" width="11.6328125" style="2" customWidth="1"/>
    <col min="11" max="11" width="11.6328125" style="28" customWidth="1"/>
    <col min="12" max="12" width="9.08984375" style="4"/>
    <col min="13" max="13" width="11.36328125" style="4" bestFit="1" customWidth="1"/>
    <col min="14" max="14" width="11.08984375" style="4" bestFit="1" customWidth="1"/>
    <col min="15" max="16384" width="9.08984375" style="4"/>
  </cols>
  <sheetData>
    <row r="1" spans="1:12" ht="15.75" customHeight="1" x14ac:dyDescent="0.35">
      <c r="A1" s="117" t="s">
        <v>672</v>
      </c>
    </row>
    <row r="2" spans="1:12" ht="15.75" customHeight="1" x14ac:dyDescent="0.35">
      <c r="A2" s="117" t="s">
        <v>787</v>
      </c>
    </row>
    <row r="3" spans="1:12" ht="25" x14ac:dyDescent="0.25">
      <c r="B3" s="138" t="s">
        <v>248</v>
      </c>
      <c r="C3" s="107" t="s">
        <v>249</v>
      </c>
      <c r="D3" s="125" t="s">
        <v>250</v>
      </c>
      <c r="E3" s="125"/>
      <c r="F3" s="126" t="s">
        <v>207</v>
      </c>
      <c r="G3" s="118"/>
      <c r="H3" s="119" t="s">
        <v>246</v>
      </c>
      <c r="I3" s="118"/>
      <c r="J3" s="138" t="s">
        <v>110</v>
      </c>
      <c r="K3" s="31" t="s">
        <v>133</v>
      </c>
    </row>
    <row r="4" spans="1:12" ht="13" x14ac:dyDescent="0.3">
      <c r="A4" s="14" t="s">
        <v>283</v>
      </c>
    </row>
    <row r="5" spans="1:12" ht="5.15" customHeight="1" x14ac:dyDescent="0.3">
      <c r="A5" s="16"/>
    </row>
    <row r="6" spans="1:12" x14ac:dyDescent="0.25">
      <c r="A6" s="60" t="s">
        <v>275</v>
      </c>
      <c r="B6" s="42"/>
      <c r="C6" s="36"/>
      <c r="D6" s="30"/>
      <c r="E6" s="30"/>
      <c r="F6" s="31"/>
      <c r="G6" s="33"/>
      <c r="H6" s="39"/>
      <c r="I6" s="49"/>
      <c r="J6" s="49"/>
      <c r="K6" s="31"/>
    </row>
    <row r="7" spans="1:12" x14ac:dyDescent="0.25">
      <c r="A7" s="245" t="s">
        <v>135</v>
      </c>
      <c r="B7" s="34">
        <v>69.056203369243278</v>
      </c>
      <c r="C7" s="36">
        <v>2717.8569015696471</v>
      </c>
      <c r="D7" s="34">
        <v>31201.346654262743</v>
      </c>
      <c r="E7" s="34"/>
      <c r="F7" s="61">
        <f>IF(D7&lt;&gt;0,C7/D7,0)</f>
        <v>8.710703841362348E-2</v>
      </c>
      <c r="G7" s="118"/>
      <c r="H7" s="39">
        <v>1.305475124586952</v>
      </c>
      <c r="I7" s="39"/>
      <c r="J7" s="36">
        <f>C7*H7</f>
        <v>3548.0945771861425</v>
      </c>
      <c r="K7" s="61">
        <f>F7*(H7)</f>
        <v>0.11371607182542554</v>
      </c>
    </row>
    <row r="8" spans="1:12" ht="12.75" customHeight="1" x14ac:dyDescent="0.25">
      <c r="A8" s="246" t="s">
        <v>136</v>
      </c>
      <c r="B8" s="34">
        <v>13.645823878901851</v>
      </c>
      <c r="C8" s="36">
        <v>568.2571984456406</v>
      </c>
      <c r="D8" s="34">
        <v>6343.3722916837887</v>
      </c>
      <c r="E8" s="34"/>
      <c r="F8" s="61">
        <f>IF(D8&lt;&gt;0,C8/D8,0)</f>
        <v>8.9582823191795044E-2</v>
      </c>
      <c r="G8" s="118"/>
      <c r="H8" s="39">
        <v>1.2169031925034866</v>
      </c>
      <c r="I8" s="39"/>
      <c r="J8" s="36">
        <f>C8*H8</f>
        <v>691.51399895158738</v>
      </c>
      <c r="K8" s="61">
        <f>F8*(H8)</f>
        <v>0.10901362353557076</v>
      </c>
    </row>
    <row r="9" spans="1:12" x14ac:dyDescent="0.25">
      <c r="A9" s="245" t="s">
        <v>137</v>
      </c>
      <c r="B9" s="34">
        <v>8.5224616033092087</v>
      </c>
      <c r="C9" s="36">
        <v>403.84233059404954</v>
      </c>
      <c r="D9" s="34">
        <v>3700.1179850712329</v>
      </c>
      <c r="E9" s="34"/>
      <c r="F9" s="61">
        <f>IF(D9&lt;&gt;0,C9/D9,0)</f>
        <v>0.10914309549679804</v>
      </c>
      <c r="G9" s="118"/>
      <c r="H9" s="39">
        <v>1.5638897968218963</v>
      </c>
      <c r="I9" s="20"/>
      <c r="J9" s="36">
        <f>C9*H9</f>
        <v>631.56490034080923</v>
      </c>
      <c r="K9" s="61">
        <f>F9*(H9)</f>
        <v>0.17068777344100031</v>
      </c>
    </row>
    <row r="10" spans="1:12" x14ac:dyDescent="0.25">
      <c r="A10" s="245" t="s">
        <v>107</v>
      </c>
      <c r="B10" s="34">
        <v>0.49475480703253139</v>
      </c>
      <c r="C10" s="36">
        <v>21.722209802763288</v>
      </c>
      <c r="D10" s="34">
        <v>392.77603149137826</v>
      </c>
      <c r="E10" s="34"/>
      <c r="F10" s="61">
        <f>IF(D10&lt;&gt;0,C10/D10,0)</f>
        <v>5.5304316101681746E-2</v>
      </c>
      <c r="G10" s="118"/>
      <c r="H10" s="39">
        <v>1.2169031925034866</v>
      </c>
      <c r="I10" s="39"/>
      <c r="J10" s="36">
        <f>C10*H10</f>
        <v>26.433826457213176</v>
      </c>
      <c r="K10" s="61">
        <f>F10*(H10)</f>
        <v>6.7299998823358492E-2</v>
      </c>
    </row>
    <row r="11" spans="1:12" x14ac:dyDescent="0.25">
      <c r="A11" s="245" t="s">
        <v>277</v>
      </c>
      <c r="B11" s="34">
        <f>SUM(B7:B10)</f>
        <v>91.719243658486874</v>
      </c>
      <c r="C11" s="36">
        <f>SUM(C7:C10)</f>
        <v>3711.6786404121003</v>
      </c>
      <c r="D11" s="34">
        <f>SUM(D7:D10)</f>
        <v>41637.612962509142</v>
      </c>
      <c r="E11" s="34"/>
      <c r="F11" s="61">
        <f>IF(D11&lt;&gt;0,C11/D11,0)</f>
        <v>8.9142445407572407E-2</v>
      </c>
      <c r="G11" s="118"/>
      <c r="H11" s="39"/>
      <c r="I11" s="39"/>
      <c r="J11" s="36">
        <f>SUM(J7:J10)</f>
        <v>4897.6073029357522</v>
      </c>
      <c r="K11" s="61">
        <f>SUMPRODUCT(K7:K10,D7:D10)/D11</f>
        <v>0.11762459359391229</v>
      </c>
      <c r="L11" s="62"/>
    </row>
    <row r="12" spans="1:12" ht="5.15" customHeight="1" x14ac:dyDescent="0.25">
      <c r="A12" s="18"/>
      <c r="B12" s="34"/>
      <c r="C12" s="36"/>
      <c r="D12" s="34"/>
      <c r="E12" s="34"/>
      <c r="F12" s="61"/>
      <c r="G12" s="118"/>
      <c r="H12" s="39"/>
      <c r="I12" s="39"/>
      <c r="J12" s="36"/>
      <c r="K12" s="61"/>
      <c r="L12" s="62"/>
    </row>
    <row r="13" spans="1:12" x14ac:dyDescent="0.25">
      <c r="A13" s="66" t="s">
        <v>383</v>
      </c>
      <c r="B13" s="34"/>
      <c r="C13" s="36"/>
      <c r="D13" s="34"/>
      <c r="E13" s="34"/>
      <c r="F13" s="61"/>
      <c r="G13" s="118"/>
      <c r="H13" s="39"/>
      <c r="I13" s="39"/>
      <c r="J13" s="36"/>
      <c r="K13" s="61"/>
      <c r="L13" s="62"/>
    </row>
    <row r="14" spans="1:12" x14ac:dyDescent="0.25">
      <c r="A14" s="245" t="s">
        <v>135</v>
      </c>
      <c r="B14" s="34">
        <v>4.6416557736294779</v>
      </c>
      <c r="C14" s="36">
        <v>199.10850404424545</v>
      </c>
      <c r="D14" s="34">
        <v>2071.0798931773738</v>
      </c>
      <c r="E14" s="34"/>
      <c r="F14" s="61">
        <f>IF(D14&lt;&gt;0,C14/D14,0)</f>
        <v>9.6137529363379881E-2</v>
      </c>
      <c r="G14" s="118"/>
      <c r="H14" s="39">
        <v>1.305475124586952</v>
      </c>
      <c r="I14" s="39"/>
      <c r="J14" s="36">
        <f>C14*H14</f>
        <v>259.931199123483</v>
      </c>
      <c r="K14" s="61">
        <f>F14*(H14)</f>
        <v>0.12550515312314012</v>
      </c>
      <c r="L14" s="62"/>
    </row>
    <row r="15" spans="1:12" x14ac:dyDescent="0.25">
      <c r="A15" s="246" t="s">
        <v>136</v>
      </c>
      <c r="B15" s="34">
        <v>3.6499972082121461</v>
      </c>
      <c r="C15" s="36">
        <v>186.86460884541745</v>
      </c>
      <c r="D15" s="34">
        <v>1644.1085740703063</v>
      </c>
      <c r="E15" s="34"/>
      <c r="F15" s="61">
        <f>IF(D15&lt;&gt;0,C15/D15,0)</f>
        <v>0.11365709770784678</v>
      </c>
      <c r="G15" s="118"/>
      <c r="H15" s="39">
        <v>1.2169031925034866</v>
      </c>
      <c r="I15" s="39"/>
      <c r="J15" s="36">
        <f>C15*H15</f>
        <v>227.39613906990374</v>
      </c>
      <c r="K15" s="61">
        <f>F15*(H15)</f>
        <v>0.13830968505135946</v>
      </c>
      <c r="L15" s="62"/>
    </row>
    <row r="16" spans="1:12" x14ac:dyDescent="0.25">
      <c r="A16" s="245" t="s">
        <v>137</v>
      </c>
      <c r="B16" s="34">
        <v>23.817354260604418</v>
      </c>
      <c r="C16" s="36">
        <v>242.51798188254708</v>
      </c>
      <c r="D16" s="34">
        <v>5038.4901112633397</v>
      </c>
      <c r="E16" s="34"/>
      <c r="F16" s="61">
        <f>IF(D16&lt;&gt;0,C16/D16,0)</f>
        <v>4.8133066955993023E-2</v>
      </c>
      <c r="G16" s="118"/>
      <c r="H16" s="39">
        <v>1.5638897968218963</v>
      </c>
      <c r="I16" s="39"/>
      <c r="J16" s="36">
        <f>C16*H16</f>
        <v>379.27139741195288</v>
      </c>
      <c r="K16" s="61">
        <f>F16*(H16)</f>
        <v>7.527481230222266E-2</v>
      </c>
      <c r="L16" s="62"/>
    </row>
    <row r="17" spans="1:12" ht="12.75" customHeight="1" x14ac:dyDescent="0.25">
      <c r="A17" s="245" t="s">
        <v>107</v>
      </c>
      <c r="B17" s="34">
        <v>0</v>
      </c>
      <c r="C17" s="36">
        <v>0</v>
      </c>
      <c r="D17" s="34">
        <v>0</v>
      </c>
      <c r="E17" s="34"/>
      <c r="F17" s="61">
        <f>IF(D17&lt;&gt;0,C17/D17,0)</f>
        <v>0</v>
      </c>
      <c r="G17" s="118"/>
      <c r="H17" s="39">
        <v>1.2169031925034866</v>
      </c>
      <c r="I17" s="39"/>
      <c r="J17" s="36">
        <f>C17*H17</f>
        <v>0</v>
      </c>
      <c r="K17" s="61">
        <f>F17*(H17)</f>
        <v>0</v>
      </c>
      <c r="L17" s="62"/>
    </row>
    <row r="18" spans="1:12" x14ac:dyDescent="0.25">
      <c r="A18" s="245" t="s">
        <v>277</v>
      </c>
      <c r="B18" s="34">
        <f>SUM(B14:B17)</f>
        <v>32.10900724244604</v>
      </c>
      <c r="C18" s="36">
        <f>SUM(C14:C17)</f>
        <v>628.49109477220998</v>
      </c>
      <c r="D18" s="34">
        <f>SUM(D14:D17)</f>
        <v>8753.6785785110187</v>
      </c>
      <c r="E18" s="34"/>
      <c r="F18" s="61">
        <f>IF(D18&lt;&gt;0,C18/D18,0)</f>
        <v>7.1797369429928842E-2</v>
      </c>
      <c r="G18" s="118"/>
      <c r="H18" s="39"/>
      <c r="I18" s="39"/>
      <c r="J18" s="36">
        <f>SUM(J14:J17)</f>
        <v>866.59873560533958</v>
      </c>
      <c r="K18" s="61">
        <f>SUMPRODUCT(K14:K17,D14:D17)/D18</f>
        <v>9.8998235751163052E-2</v>
      </c>
      <c r="L18" s="62"/>
    </row>
    <row r="19" spans="1:12" ht="5.15" customHeight="1" x14ac:dyDescent="0.25">
      <c r="A19" s="59"/>
      <c r="B19" s="34"/>
      <c r="C19" s="34"/>
      <c r="D19" s="34"/>
      <c r="E19" s="34"/>
      <c r="F19" s="61"/>
      <c r="G19" s="118"/>
      <c r="H19" s="39"/>
      <c r="I19" s="39"/>
      <c r="J19" s="36"/>
      <c r="K19" s="61"/>
      <c r="L19" s="62"/>
    </row>
    <row r="20" spans="1:12" ht="12.75" customHeight="1" x14ac:dyDescent="0.25">
      <c r="A20" s="66" t="s">
        <v>384</v>
      </c>
      <c r="B20" s="34"/>
      <c r="C20" s="34"/>
      <c r="D20" s="34"/>
      <c r="E20" s="34"/>
      <c r="F20" s="61"/>
      <c r="G20" s="118"/>
      <c r="H20" s="39"/>
      <c r="I20" s="39"/>
      <c r="J20" s="36"/>
      <c r="K20" s="61"/>
      <c r="L20" s="62"/>
    </row>
    <row r="21" spans="1:12" ht="12.75" customHeight="1" x14ac:dyDescent="0.25">
      <c r="A21" s="245" t="s">
        <v>135</v>
      </c>
      <c r="B21" s="34">
        <v>48.253138086112763</v>
      </c>
      <c r="C21" s="36">
        <v>2069.6911691419596</v>
      </c>
      <c r="D21" s="34">
        <v>21526.607462699198</v>
      </c>
      <c r="E21" s="34"/>
      <c r="F21" s="61">
        <f>IF(D21&lt;&gt;0,C21/D21,0)</f>
        <v>9.6145719790183937E-2</v>
      </c>
      <c r="G21" s="118"/>
      <c r="H21" s="39">
        <v>1.305475124586952</v>
      </c>
      <c r="I21" s="39"/>
      <c r="J21" s="36">
        <f>C21*H21</f>
        <v>2701.9303368921142</v>
      </c>
      <c r="K21" s="61">
        <f>F21*(H21)</f>
        <v>0.12551584552159256</v>
      </c>
      <c r="L21" s="62"/>
    </row>
    <row r="22" spans="1:12" ht="12.75" customHeight="1" x14ac:dyDescent="0.25">
      <c r="A22" s="246" t="s">
        <v>136</v>
      </c>
      <c r="B22" s="34">
        <v>10.791109392796946</v>
      </c>
      <c r="C22" s="36">
        <v>551.11565662389273</v>
      </c>
      <c r="D22" s="34">
        <v>4841.5695671980575</v>
      </c>
      <c r="E22" s="34"/>
      <c r="F22" s="61">
        <f>IF(D22&lt;&gt;0,C22/D22,0)</f>
        <v>0.11382995720184141</v>
      </c>
      <c r="G22" s="118"/>
      <c r="H22" s="39">
        <v>1.2169031925034866</v>
      </c>
      <c r="I22" s="39"/>
      <c r="J22" s="36">
        <f>C22*H22</f>
        <v>670.65440198427029</v>
      </c>
      <c r="K22" s="61">
        <f>F22*(H22)</f>
        <v>0.13852003832145607</v>
      </c>
      <c r="L22" s="62"/>
    </row>
    <row r="23" spans="1:12" ht="12.75" customHeight="1" x14ac:dyDescent="0.25">
      <c r="A23" s="245" t="s">
        <v>137</v>
      </c>
      <c r="B23" s="34">
        <v>7.3695699280604368</v>
      </c>
      <c r="C23" s="36">
        <v>431.75011376172966</v>
      </c>
      <c r="D23" s="34">
        <v>3170.0597848771413</v>
      </c>
      <c r="E23" s="34"/>
      <c r="F23" s="61">
        <f>IF(D23&lt;&gt;0,C23/D23,0)</f>
        <v>0.13619620545372854</v>
      </c>
      <c r="G23" s="118"/>
      <c r="H23" s="39">
        <v>1.5638897968218963</v>
      </c>
      <c r="I23" s="39"/>
      <c r="J23" s="36">
        <f>C23*H23</f>
        <v>675.20959768866203</v>
      </c>
      <c r="K23" s="61">
        <f>F23*(H23)</f>
        <v>0.21299585607494478</v>
      </c>
      <c r="L23" s="62"/>
    </row>
    <row r="24" spans="1:12" ht="12.75" customHeight="1" x14ac:dyDescent="0.25">
      <c r="A24" s="245" t="s">
        <v>107</v>
      </c>
      <c r="B24" s="34">
        <v>0</v>
      </c>
      <c r="C24" s="36">
        <v>0</v>
      </c>
      <c r="D24" s="34">
        <v>0</v>
      </c>
      <c r="E24" s="34"/>
      <c r="F24" s="61">
        <f>IF(D24&lt;&gt;0,C24/D24,0)</f>
        <v>0</v>
      </c>
      <c r="G24" s="118"/>
      <c r="H24" s="39">
        <v>1.2169031925034866</v>
      </c>
      <c r="I24" s="39"/>
      <c r="J24" s="36">
        <f>C24*H24</f>
        <v>0</v>
      </c>
      <c r="K24" s="61">
        <f>F24*(H24)</f>
        <v>0</v>
      </c>
      <c r="L24" s="62"/>
    </row>
    <row r="25" spans="1:12" ht="12.75" customHeight="1" x14ac:dyDescent="0.25">
      <c r="A25" s="245" t="s">
        <v>277</v>
      </c>
      <c r="B25" s="34">
        <f>SUM(B21:B24)</f>
        <v>66.413817406970153</v>
      </c>
      <c r="C25" s="36">
        <f>SUM(C21:C24)</f>
        <v>3052.556939527582</v>
      </c>
      <c r="D25" s="34">
        <f>SUM(D21:D24)</f>
        <v>29538.236814774398</v>
      </c>
      <c r="E25" s="34"/>
      <c r="F25" s="61">
        <f>IF(D25&lt;&gt;0,C25/D25,0)</f>
        <v>0.10334255760319309</v>
      </c>
      <c r="G25" s="118"/>
      <c r="H25" s="39"/>
      <c r="I25" s="39"/>
      <c r="J25" s="36">
        <f>SUM(J21:J24)</f>
        <v>4047.7943365650467</v>
      </c>
      <c r="K25" s="61">
        <f>SUMPRODUCT(K21:K24,D21:D24)/D25</f>
        <v>0.13703574664755974</v>
      </c>
      <c r="L25" s="62"/>
    </row>
    <row r="26" spans="1:12" ht="5.15" customHeight="1" x14ac:dyDescent="0.25">
      <c r="A26" s="59"/>
      <c r="B26" s="34"/>
      <c r="C26" s="34"/>
      <c r="D26" s="34"/>
      <c r="E26" s="34"/>
      <c r="F26" s="61"/>
      <c r="G26" s="118"/>
      <c r="H26" s="39"/>
      <c r="I26" s="39"/>
      <c r="J26" s="36"/>
      <c r="K26" s="61"/>
      <c r="L26" s="62"/>
    </row>
    <row r="27" spans="1:12" ht="12.75" customHeight="1" x14ac:dyDescent="0.25">
      <c r="A27" s="18" t="s">
        <v>276</v>
      </c>
      <c r="B27" s="34"/>
      <c r="C27" s="34"/>
      <c r="D27" s="34"/>
      <c r="E27" s="34"/>
      <c r="F27" s="61"/>
      <c r="G27" s="118"/>
      <c r="H27" s="39"/>
      <c r="I27" s="39"/>
      <c r="J27" s="36"/>
      <c r="K27" s="61"/>
      <c r="L27" s="62"/>
    </row>
    <row r="28" spans="1:12" ht="12.75" customHeight="1" x14ac:dyDescent="0.25">
      <c r="A28" s="245" t="s">
        <v>135</v>
      </c>
      <c r="B28" s="34">
        <v>27.12835594578349</v>
      </c>
      <c r="C28" s="36">
        <v>1098.3356574150675</v>
      </c>
      <c r="D28" s="34">
        <v>20180.150716005086</v>
      </c>
      <c r="E28" s="34"/>
      <c r="F28" s="61">
        <f>IF(D28&lt;&gt;0,C28/D28,0)</f>
        <v>5.4426533918003207E-2</v>
      </c>
      <c r="G28" s="118"/>
      <c r="H28" s="39">
        <v>1.305475124586952</v>
      </c>
      <c r="I28" s="39"/>
      <c r="J28" s="36">
        <f>C28*H28</f>
        <v>1433.8498792022272</v>
      </c>
      <c r="K28" s="61">
        <f>F28*(H28)</f>
        <v>7.105248614744121E-2</v>
      </c>
      <c r="L28" s="62"/>
    </row>
    <row r="29" spans="1:12" ht="12.75" customHeight="1" x14ac:dyDescent="0.25">
      <c r="A29" s="246" t="s">
        <v>136</v>
      </c>
      <c r="B29" s="34">
        <v>14.226610245672882</v>
      </c>
      <c r="C29" s="36">
        <v>360.71269290737018</v>
      </c>
      <c r="D29" s="34">
        <v>10101.239852936986</v>
      </c>
      <c r="E29" s="34"/>
      <c r="F29" s="61">
        <f>IF(D29&lt;&gt;0,C29/D29,0)</f>
        <v>3.5709744363954604E-2</v>
      </c>
      <c r="G29" s="118"/>
      <c r="H29" s="39">
        <v>1.2169031925034866</v>
      </c>
      <c r="I29" s="39"/>
      <c r="J29" s="36">
        <f>C29*H29</f>
        <v>438.95242757550852</v>
      </c>
      <c r="K29" s="61">
        <f>F29*(H29)</f>
        <v>4.3455301919979747E-2</v>
      </c>
      <c r="L29" s="62"/>
    </row>
    <row r="30" spans="1:12" ht="12.75" customHeight="1" x14ac:dyDescent="0.25">
      <c r="A30" s="245" t="s">
        <v>137</v>
      </c>
      <c r="B30" s="34">
        <v>11.64377325779054</v>
      </c>
      <c r="C30" s="36">
        <v>1300.4614053673656</v>
      </c>
      <c r="D30" s="34">
        <v>5748.8220719879173</v>
      </c>
      <c r="E30" s="34"/>
      <c r="F30" s="61">
        <f>IF(D30&lt;&gt;0,C30/D30,0)</f>
        <v>0.22621354237141519</v>
      </c>
      <c r="G30" s="118"/>
      <c r="H30" s="39">
        <v>1.5638897968218963</v>
      </c>
      <c r="I30" s="39"/>
      <c r="J30" s="36">
        <f>C30*H30</f>
        <v>2033.7783230146872</v>
      </c>
      <c r="K30" s="61">
        <f>F30*(H30)</f>
        <v>0.35377305081759397</v>
      </c>
      <c r="L30" s="62"/>
    </row>
    <row r="31" spans="1:12" ht="12.75" customHeight="1" x14ac:dyDescent="0.25">
      <c r="A31" s="245" t="s">
        <v>107</v>
      </c>
      <c r="B31" s="34">
        <v>9.4206759964908973E-2</v>
      </c>
      <c r="C31" s="36">
        <v>4.1361477962593289</v>
      </c>
      <c r="D31" s="34">
        <v>71.957251405446939</v>
      </c>
      <c r="E31" s="34"/>
      <c r="F31" s="61">
        <f>IF(D31&lt;&gt;0,C31/D31,0)</f>
        <v>5.7480625169435466E-2</v>
      </c>
      <c r="G31" s="118"/>
      <c r="H31" s="39">
        <v>1.2169031925034866</v>
      </c>
      <c r="I31" s="39"/>
      <c r="J31" s="36">
        <f>C31*H31</f>
        <v>5.0332914579342383</v>
      </c>
      <c r="K31" s="61">
        <f>F31*(H31)</f>
        <v>6.9948356275782275E-2</v>
      </c>
      <c r="L31" s="62"/>
    </row>
    <row r="32" spans="1:12" ht="12.75" customHeight="1" x14ac:dyDescent="0.25">
      <c r="A32" s="245" t="s">
        <v>277</v>
      </c>
      <c r="B32" s="34">
        <f>SUM(B28:B31)</f>
        <v>53.092946209211824</v>
      </c>
      <c r="C32" s="36">
        <f>SUM(C28:C31)</f>
        <v>2763.6459034860627</v>
      </c>
      <c r="D32" s="34">
        <f>SUM(D28:D31)</f>
        <v>36102.169892335434</v>
      </c>
      <c r="E32" s="34"/>
      <c r="F32" s="61">
        <f>IF(D32&lt;&gt;0,C32/D32,0)</f>
        <v>7.6550686890230119E-2</v>
      </c>
      <c r="G32" s="118"/>
      <c r="H32" s="39"/>
      <c r="I32" s="39"/>
      <c r="J32" s="36">
        <f>SUM(J28:J31)</f>
        <v>3911.6139212503572</v>
      </c>
      <c r="K32" s="61">
        <f>SUMPRODUCT(K28:K31,D28:D31)/D32</f>
        <v>0.10834844367847267</v>
      </c>
      <c r="L32" s="62"/>
    </row>
    <row r="33" spans="1:12" ht="5.15" customHeight="1" x14ac:dyDescent="0.25">
      <c r="A33" s="59"/>
      <c r="B33" s="34"/>
      <c r="C33" s="36"/>
      <c r="D33" s="34"/>
      <c r="E33" s="34"/>
      <c r="F33" s="61"/>
      <c r="G33" s="118"/>
      <c r="H33" s="39"/>
      <c r="I33" s="39"/>
      <c r="J33" s="36"/>
      <c r="K33" s="61"/>
      <c r="L33" s="62"/>
    </row>
    <row r="34" spans="1:12" ht="12.75" customHeight="1" x14ac:dyDescent="0.25">
      <c r="A34" s="66" t="s">
        <v>288</v>
      </c>
      <c r="B34" s="34"/>
      <c r="C34" s="36"/>
      <c r="D34" s="34"/>
      <c r="E34" s="34"/>
      <c r="F34" s="61"/>
      <c r="G34" s="118"/>
      <c r="H34" s="39"/>
      <c r="I34" s="39"/>
      <c r="J34" s="36"/>
      <c r="K34" s="61"/>
      <c r="L34" s="62"/>
    </row>
    <row r="35" spans="1:12" x14ac:dyDescent="0.25">
      <c r="A35" s="245" t="s">
        <v>135</v>
      </c>
      <c r="B35" s="34">
        <f t="shared" ref="B35:D38" si="0">SUM(B7,B14,B21,B28)</f>
        <v>149.07935317476901</v>
      </c>
      <c r="C35" s="36">
        <f t="shared" si="0"/>
        <v>6084.99223217092</v>
      </c>
      <c r="D35" s="34">
        <f t="shared" si="0"/>
        <v>74979.184726144405</v>
      </c>
      <c r="E35" s="34"/>
      <c r="F35" s="61">
        <f>IF(D35&lt;&gt;0,C35/D35,0)</f>
        <v>8.1155753485395679E-2</v>
      </c>
      <c r="G35" s="118"/>
      <c r="H35" s="39">
        <v>1.305475124586952</v>
      </c>
      <c r="I35" s="39"/>
      <c r="J35" s="36">
        <f>SUM(J7,J14,J21,J28)</f>
        <v>7943.8059924039671</v>
      </c>
      <c r="K35" s="61">
        <f>F35*(H35)</f>
        <v>0.10594681739229489</v>
      </c>
      <c r="L35" s="62"/>
    </row>
    <row r="36" spans="1:12" x14ac:dyDescent="0.25">
      <c r="A36" s="246" t="s">
        <v>136</v>
      </c>
      <c r="B36" s="34">
        <f t="shared" si="0"/>
        <v>42.31354072558382</v>
      </c>
      <c r="C36" s="36">
        <f t="shared" si="0"/>
        <v>1666.9501568223209</v>
      </c>
      <c r="D36" s="34">
        <f t="shared" si="0"/>
        <v>22930.290285889139</v>
      </c>
      <c r="E36" s="34"/>
      <c r="F36" s="61">
        <f>IF(D36&lt;&gt;0,C36/D36,0)</f>
        <v>7.2696426257112409E-2</v>
      </c>
      <c r="G36" s="118"/>
      <c r="H36" s="39">
        <v>1.2169031925034866</v>
      </c>
      <c r="I36" s="39"/>
      <c r="J36" s="36">
        <f>SUM(J8,J15,J22,J29)</f>
        <v>2028.5169675812699</v>
      </c>
      <c r="K36" s="61">
        <f>F36*(H36)</f>
        <v>8.8464513195874381E-2</v>
      </c>
      <c r="L36" s="62"/>
    </row>
    <row r="37" spans="1:12" x14ac:dyDescent="0.25">
      <c r="A37" s="245" t="s">
        <v>137</v>
      </c>
      <c r="B37" s="34">
        <f t="shared" si="0"/>
        <v>51.353159049764606</v>
      </c>
      <c r="C37" s="36">
        <f t="shared" si="0"/>
        <v>2378.5718316056918</v>
      </c>
      <c r="D37" s="34">
        <f t="shared" si="0"/>
        <v>17657.489953199631</v>
      </c>
      <c r="E37" s="34"/>
      <c r="F37" s="61">
        <f>IF(D37&lt;&gt;0,C37/D37,0)</f>
        <v>0.13470611269834998</v>
      </c>
      <c r="G37" s="118"/>
      <c r="H37" s="39">
        <v>1.5638897968218963</v>
      </c>
      <c r="I37" s="39"/>
      <c r="J37" s="36">
        <f>SUM(J9,J16,J23,J30)</f>
        <v>3719.8242184561113</v>
      </c>
      <c r="K37" s="61">
        <f>F37*(H37)</f>
        <v>0.21066551521849003</v>
      </c>
      <c r="L37" s="62"/>
    </row>
    <row r="38" spans="1:12" x14ac:dyDescent="0.25">
      <c r="A38" s="245" t="s">
        <v>107</v>
      </c>
      <c r="B38" s="34">
        <f t="shared" si="0"/>
        <v>0.5889615669974404</v>
      </c>
      <c r="C38" s="36">
        <f t="shared" si="0"/>
        <v>25.858357599022618</v>
      </c>
      <c r="D38" s="34">
        <f t="shared" si="0"/>
        <v>464.73328289682519</v>
      </c>
      <c r="E38" s="34"/>
      <c r="F38" s="61">
        <f>IF(D38&lt;&gt;0,C38/D38,0)</f>
        <v>5.5641286197191511E-2</v>
      </c>
      <c r="G38" s="118"/>
      <c r="H38" s="39">
        <v>1.2169031925034866</v>
      </c>
      <c r="I38" s="39"/>
      <c r="J38" s="36">
        <f>SUM(J10,J17,J24,J31)</f>
        <v>31.467117915147412</v>
      </c>
      <c r="K38" s="61">
        <f>F38*(H38)</f>
        <v>6.7710058808362533E-2</v>
      </c>
      <c r="L38" s="62"/>
    </row>
    <row r="39" spans="1:12" x14ac:dyDescent="0.25">
      <c r="A39" s="246" t="s">
        <v>102</v>
      </c>
      <c r="B39" s="34">
        <f>SUM(B35:B38)</f>
        <v>243.33501451711487</v>
      </c>
      <c r="C39" s="36">
        <f>SUM(C35:C38)</f>
        <v>10156.372578197956</v>
      </c>
      <c r="D39" s="34">
        <f>SUM(D35:D38)</f>
        <v>116031.69824812999</v>
      </c>
      <c r="E39" s="34"/>
      <c r="F39" s="61"/>
      <c r="G39" s="118"/>
      <c r="H39" s="39"/>
      <c r="I39" s="39"/>
      <c r="J39" s="36">
        <f>SUM(J35:J38)</f>
        <v>13723.614296356496</v>
      </c>
      <c r="K39" s="61">
        <f>SUMPRODUCT(K35:K38,D35:D38)/D39</f>
        <v>0.11827469996180695</v>
      </c>
      <c r="L39" s="62"/>
    </row>
    <row r="40" spans="1:12" ht="5.15" customHeight="1" x14ac:dyDescent="0.25">
      <c r="A40" s="59"/>
      <c r="B40" s="34"/>
      <c r="C40" s="36"/>
      <c r="D40" s="34"/>
      <c r="E40" s="34"/>
      <c r="F40" s="61"/>
      <c r="G40" s="118"/>
      <c r="H40" s="39"/>
      <c r="I40" s="39"/>
      <c r="J40" s="36"/>
      <c r="K40" s="61"/>
      <c r="L40" s="62"/>
    </row>
    <row r="41" spans="1:12" x14ac:dyDescent="0.25">
      <c r="A41" s="59"/>
      <c r="B41" s="34"/>
      <c r="C41" s="36"/>
      <c r="D41" s="34"/>
      <c r="E41" s="34"/>
      <c r="F41" s="61"/>
      <c r="G41" s="118"/>
      <c r="H41" s="39"/>
      <c r="I41" s="39"/>
      <c r="J41" s="36"/>
      <c r="K41" s="61"/>
      <c r="L41" s="62"/>
    </row>
    <row r="42" spans="1:12" ht="15.5" x14ac:dyDescent="0.35">
      <c r="A42" s="117" t="s">
        <v>55</v>
      </c>
      <c r="L42" s="62"/>
    </row>
    <row r="43" spans="1:12" ht="15.5" x14ac:dyDescent="0.35">
      <c r="A43" s="117" t="s">
        <v>787</v>
      </c>
      <c r="L43" s="62"/>
    </row>
    <row r="44" spans="1:12" ht="25" x14ac:dyDescent="0.25">
      <c r="B44" s="138" t="s">
        <v>248</v>
      </c>
      <c r="C44" s="107" t="s">
        <v>249</v>
      </c>
      <c r="D44" s="125" t="s">
        <v>250</v>
      </c>
      <c r="E44" s="125"/>
      <c r="F44" s="126" t="s">
        <v>207</v>
      </c>
      <c r="G44" s="118"/>
      <c r="H44" s="119" t="s">
        <v>246</v>
      </c>
      <c r="I44" s="118"/>
      <c r="J44" s="138" t="s">
        <v>110</v>
      </c>
      <c r="K44" s="31" t="s">
        <v>133</v>
      </c>
      <c r="L44" s="62"/>
    </row>
    <row r="45" spans="1:12" ht="13" x14ac:dyDescent="0.3">
      <c r="A45" s="14" t="s">
        <v>385</v>
      </c>
      <c r="B45" s="34"/>
      <c r="C45" s="36"/>
      <c r="D45" s="34"/>
      <c r="E45" s="34"/>
      <c r="F45" s="61"/>
      <c r="G45" s="118"/>
      <c r="H45" s="39"/>
      <c r="I45" s="39"/>
      <c r="J45" s="36"/>
      <c r="K45" s="61"/>
      <c r="L45" s="62"/>
    </row>
    <row r="46" spans="1:12" ht="5.15" customHeight="1" x14ac:dyDescent="0.25">
      <c r="A46" s="59"/>
      <c r="B46" s="34"/>
      <c r="C46" s="36"/>
      <c r="D46" s="34"/>
      <c r="E46" s="34"/>
      <c r="F46" s="61"/>
      <c r="G46" s="118"/>
      <c r="H46" s="39"/>
      <c r="I46" s="39"/>
      <c r="J46" s="36"/>
      <c r="K46" s="61"/>
      <c r="L46" s="62"/>
    </row>
    <row r="47" spans="1:12" x14ac:dyDescent="0.25">
      <c r="A47" s="66" t="s">
        <v>386</v>
      </c>
      <c r="B47" s="34"/>
      <c r="C47" s="36"/>
      <c r="D47" s="34"/>
      <c r="E47" s="34"/>
      <c r="F47" s="31"/>
      <c r="G47" s="118"/>
      <c r="H47" s="39"/>
      <c r="I47" s="39"/>
      <c r="J47" s="32"/>
      <c r="K47" s="31"/>
      <c r="L47" s="62"/>
    </row>
    <row r="48" spans="1:12" x14ac:dyDescent="0.25">
      <c r="A48" s="245" t="s">
        <v>135</v>
      </c>
      <c r="B48" s="34">
        <v>21.849291649810809</v>
      </c>
      <c r="C48" s="36">
        <v>794.50915010360393</v>
      </c>
      <c r="D48" s="34">
        <v>14247.322075929827</v>
      </c>
      <c r="E48" s="34"/>
      <c r="F48" s="61">
        <f>IF(D48&lt;&gt;0,C48/D48,0)</f>
        <v>5.5765507782398582E-2</v>
      </c>
      <c r="G48" s="118"/>
      <c r="H48" s="39">
        <v>1.305475124586952</v>
      </c>
      <c r="I48" s="39"/>
      <c r="J48" s="36">
        <f>C48*H48</f>
        <v>1037.2119317169756</v>
      </c>
      <c r="K48" s="61">
        <f>F48*(H48)</f>
        <v>7.2800483219881432E-2</v>
      </c>
      <c r="L48" s="62"/>
    </row>
    <row r="49" spans="1:12" x14ac:dyDescent="0.25">
      <c r="A49" s="246" t="s">
        <v>136</v>
      </c>
      <c r="B49" s="34">
        <v>6.8138289102130312</v>
      </c>
      <c r="C49" s="36">
        <v>330.85000393426503</v>
      </c>
      <c r="D49" s="34">
        <v>5712.9463976751376</v>
      </c>
      <c r="E49" s="34"/>
      <c r="F49" s="61">
        <f>IF(D49&lt;&gt;0,C49/D49,0)</f>
        <v>5.791232420260467E-2</v>
      </c>
      <c r="G49" s="118"/>
      <c r="H49" s="39">
        <v>1.2169031925034866</v>
      </c>
      <c r="I49" s="39"/>
      <c r="J49" s="36">
        <f>C49*H49</f>
        <v>402.61242602739821</v>
      </c>
      <c r="K49" s="61">
        <f>F49*(H49)</f>
        <v>7.047369220744655E-2</v>
      </c>
      <c r="L49" s="62"/>
    </row>
    <row r="50" spans="1:12" x14ac:dyDescent="0.25">
      <c r="A50" s="245" t="s">
        <v>137</v>
      </c>
      <c r="B50" s="24">
        <v>3.6739866833364432</v>
      </c>
      <c r="C50" s="36">
        <v>317.40942189900142</v>
      </c>
      <c r="D50" s="24">
        <v>2404.7057393676441</v>
      </c>
      <c r="E50" s="34"/>
      <c r="F50" s="61">
        <f>IF(D50&lt;&gt;0,C50/D50,0)</f>
        <v>0.13199511969496497</v>
      </c>
      <c r="G50" s="118"/>
      <c r="H50" s="39">
        <v>1.5638897968218963</v>
      </c>
      <c r="I50" s="39"/>
      <c r="J50" s="36">
        <f>C50*H50</f>
        <v>496.39335632298491</v>
      </c>
      <c r="K50" s="61">
        <f>F50*(H50)</f>
        <v>0.20642582092124065</v>
      </c>
      <c r="L50" s="62"/>
    </row>
    <row r="51" spans="1:12" x14ac:dyDescent="0.25">
      <c r="A51" s="245" t="s">
        <v>107</v>
      </c>
      <c r="B51" s="24">
        <v>0.15941347182799917</v>
      </c>
      <c r="C51" s="36">
        <v>6.9990484806083044</v>
      </c>
      <c r="D51" s="24">
        <v>139.5119654314515</v>
      </c>
      <c r="E51" s="34"/>
      <c r="F51" s="61">
        <f>IF(D51&lt;&gt;0,C51/D51,0)</f>
        <v>5.0168087439404985E-2</v>
      </c>
      <c r="G51" s="118"/>
      <c r="H51" s="39">
        <v>1.2169031925034866</v>
      </c>
      <c r="I51" s="39"/>
      <c r="J51" s="36">
        <f>C51*H51</f>
        <v>8.517164440538922</v>
      </c>
      <c r="K51" s="61">
        <f>F51*(H51)</f>
        <v>6.1049705766805989E-2</v>
      </c>
      <c r="L51" s="62"/>
    </row>
    <row r="52" spans="1:12" x14ac:dyDescent="0.25">
      <c r="A52" s="245" t="s">
        <v>277</v>
      </c>
      <c r="B52" s="24">
        <f>SUM(B48:B51)</f>
        <v>32.496520715188282</v>
      </c>
      <c r="C52" s="36">
        <f>SUM(C48:C51)</f>
        <v>1449.7676244174786</v>
      </c>
      <c r="D52" s="24">
        <f>SUM(D48:D51)</f>
        <v>22504.486178404059</v>
      </c>
      <c r="E52" s="34"/>
      <c r="F52" s="31"/>
      <c r="G52" s="118"/>
      <c r="H52" s="39"/>
      <c r="I52" s="39"/>
      <c r="J52" s="36">
        <f>SUM(J48:J51)</f>
        <v>1944.7348785078977</v>
      </c>
      <c r="K52" s="61">
        <f>SUMPRODUCT(K48:K51,D48:D51)/D52</f>
        <v>8.6415431265172385E-2</v>
      </c>
      <c r="L52" s="62"/>
    </row>
    <row r="53" spans="1:12" x14ac:dyDescent="0.25">
      <c r="A53" s="18"/>
      <c r="B53" s="34"/>
      <c r="C53" s="34"/>
      <c r="D53" s="34"/>
      <c r="E53" s="34"/>
      <c r="F53" s="61"/>
      <c r="G53" s="118"/>
      <c r="H53" s="39"/>
      <c r="I53" s="39"/>
      <c r="J53" s="36"/>
      <c r="K53" s="61"/>
      <c r="L53" s="62"/>
    </row>
    <row r="54" spans="1:12" ht="5.15" customHeight="1" x14ac:dyDescent="0.25">
      <c r="B54" s="42"/>
      <c r="C54" s="42"/>
      <c r="D54" s="42"/>
      <c r="E54" s="30"/>
      <c r="F54" s="31"/>
      <c r="G54" s="118"/>
      <c r="H54" s="39"/>
      <c r="I54" s="39"/>
      <c r="J54" s="32"/>
      <c r="K54" s="31"/>
    </row>
    <row r="55" spans="1:12" x14ac:dyDescent="0.25">
      <c r="A55" s="66" t="s">
        <v>387</v>
      </c>
      <c r="B55" s="42"/>
      <c r="C55" s="42"/>
      <c r="D55" s="42"/>
      <c r="E55" s="30"/>
      <c r="F55" s="31"/>
      <c r="G55" s="118"/>
      <c r="H55" s="39"/>
      <c r="I55" s="39"/>
      <c r="J55" s="32"/>
      <c r="K55" s="31"/>
    </row>
    <row r="56" spans="1:12" x14ac:dyDescent="0.25">
      <c r="A56" s="245" t="s">
        <v>135</v>
      </c>
      <c r="B56" s="34">
        <v>21.744450450580661</v>
      </c>
      <c r="C56" s="36">
        <v>955.83813313364328</v>
      </c>
      <c r="D56" s="34">
        <v>17735.241389995037</v>
      </c>
      <c r="E56" s="34"/>
      <c r="F56" s="61">
        <f>IF(D56&lt;&gt;0,C56/D56,0)</f>
        <v>5.3894847671645409E-2</v>
      </c>
      <c r="G56" s="118"/>
      <c r="H56" s="39">
        <v>1.305475124586952</v>
      </c>
      <c r="I56" s="39"/>
      <c r="J56" s="36">
        <f>C56*H56</f>
        <v>1247.8229059376026</v>
      </c>
      <c r="K56" s="61">
        <f>F56*(H56)</f>
        <v>7.0358382978736089E-2</v>
      </c>
    </row>
    <row r="57" spans="1:12" x14ac:dyDescent="0.25">
      <c r="A57" s="246" t="s">
        <v>136</v>
      </c>
      <c r="B57" s="34">
        <v>10.213926464315859</v>
      </c>
      <c r="C57" s="36">
        <v>481.81944045992316</v>
      </c>
      <c r="D57" s="34">
        <v>8295.2105240720684</v>
      </c>
      <c r="E57" s="34"/>
      <c r="F57" s="61">
        <f>IF(D57&lt;&gt;0,C57/D57,0)</f>
        <v>5.8084052124020229E-2</v>
      </c>
      <c r="G57" s="118"/>
      <c r="H57" s="39">
        <v>1.2169031925034866</v>
      </c>
      <c r="I57" s="39"/>
      <c r="J57" s="36">
        <f>C57*H57</f>
        <v>586.32761530592404</v>
      </c>
      <c r="K57" s="61">
        <f>F57*(H57)</f>
        <v>7.068266846325913E-2</v>
      </c>
    </row>
    <row r="58" spans="1:12" x14ac:dyDescent="0.25">
      <c r="A58" s="245" t="s">
        <v>137</v>
      </c>
      <c r="B58" s="24">
        <v>3.0138441271121557</v>
      </c>
      <c r="C58" s="36">
        <v>106.71809690801716</v>
      </c>
      <c r="D58" s="24">
        <v>2548.441121242075</v>
      </c>
      <c r="E58" s="34"/>
      <c r="F58" s="61">
        <f>IF(D58&lt;&gt;0,C58/D58,0)</f>
        <v>4.1875833825819067E-2</v>
      </c>
      <c r="G58" s="118"/>
      <c r="H58" s="39">
        <v>1.5638897968218963</v>
      </c>
      <c r="I58" s="39"/>
      <c r="J58" s="36">
        <f>C58*H58</f>
        <v>166.8953428906984</v>
      </c>
      <c r="K58" s="61">
        <f>F58*(H58)</f>
        <v>6.548918925360768E-2</v>
      </c>
    </row>
    <row r="59" spans="1:12" x14ac:dyDescent="0.25">
      <c r="A59" s="245" t="s">
        <v>107</v>
      </c>
      <c r="B59" s="24">
        <v>0</v>
      </c>
      <c r="C59" s="36">
        <v>0</v>
      </c>
      <c r="D59" s="24">
        <v>0</v>
      </c>
      <c r="E59" s="34"/>
      <c r="F59" s="61">
        <f>IF(D59&lt;&gt;0,C59/D59,0)</f>
        <v>0</v>
      </c>
      <c r="G59" s="118"/>
      <c r="H59" s="39">
        <v>1.2169031925034866</v>
      </c>
      <c r="I59" s="39"/>
      <c r="J59" s="36">
        <f>C59*H59</f>
        <v>0</v>
      </c>
      <c r="K59" s="61">
        <f>F59*(H59)</f>
        <v>0</v>
      </c>
    </row>
    <row r="60" spans="1:12" x14ac:dyDescent="0.25">
      <c r="A60" s="245" t="s">
        <v>277</v>
      </c>
      <c r="B60" s="24">
        <f>SUM(B56:B59)</f>
        <v>34.972221042008677</v>
      </c>
      <c r="C60" s="36">
        <f>SUM(C56:C59)</f>
        <v>1544.3756705015835</v>
      </c>
      <c r="D60" s="24">
        <f>SUM(D56:D59)</f>
        <v>28578.893035309178</v>
      </c>
      <c r="E60" s="34"/>
      <c r="F60" s="31"/>
      <c r="G60" s="118"/>
      <c r="H60" s="39"/>
      <c r="I60" s="39"/>
      <c r="J60" s="36">
        <f>SUM(J56:J59)</f>
        <v>2001.0458641342252</v>
      </c>
      <c r="K60" s="61">
        <f>SUMPRODUCT(K56:K59,D56:D59)/D60</f>
        <v>7.001831252392933E-2</v>
      </c>
    </row>
    <row r="61" spans="1:12" ht="5.15" customHeight="1" x14ac:dyDescent="0.25">
      <c r="B61" s="34"/>
      <c r="C61" s="34"/>
      <c r="D61" s="34"/>
      <c r="E61" s="34"/>
      <c r="F61" s="31"/>
      <c r="G61" s="118"/>
      <c r="H61" s="39"/>
      <c r="I61" s="39"/>
      <c r="J61" s="32"/>
      <c r="K61" s="31"/>
    </row>
    <row r="62" spans="1:12" x14ac:dyDescent="0.25">
      <c r="A62" s="66" t="s">
        <v>388</v>
      </c>
      <c r="B62" s="4"/>
      <c r="C62" s="4"/>
      <c r="D62" s="4"/>
      <c r="E62" s="4"/>
      <c r="F62" s="4"/>
      <c r="G62" s="4"/>
      <c r="I62" s="4"/>
      <c r="J62" s="4"/>
      <c r="K62" s="4"/>
    </row>
    <row r="63" spans="1:12" x14ac:dyDescent="0.25">
      <c r="A63" s="245" t="s">
        <v>135</v>
      </c>
      <c r="B63" s="34">
        <v>29.379854551917639</v>
      </c>
      <c r="C63" s="36">
        <v>1323.3080667265729</v>
      </c>
      <c r="D63" s="34">
        <v>24648.387984627556</v>
      </c>
      <c r="E63" s="4"/>
      <c r="F63" s="61">
        <f>IF(D63&lt;&gt;0,C63/D63,0)</f>
        <v>5.3687408180684251E-2</v>
      </c>
      <c r="G63" s="4"/>
      <c r="H63" s="39">
        <v>1.305475124586952</v>
      </c>
      <c r="I63" s="4"/>
      <c r="J63" s="36">
        <f>C63*H63</f>
        <v>1727.5457632767914</v>
      </c>
      <c r="K63" s="61">
        <f>F63*(H63)</f>
        <v>7.0087575883429315E-2</v>
      </c>
    </row>
    <row r="64" spans="1:12" x14ac:dyDescent="0.25">
      <c r="A64" s="246" t="s">
        <v>136</v>
      </c>
      <c r="B64" s="34">
        <v>12.674827658683089</v>
      </c>
      <c r="C64" s="36">
        <v>637.96156087799818</v>
      </c>
      <c r="D64" s="34">
        <v>11055.220001769709</v>
      </c>
      <c r="E64" s="4"/>
      <c r="F64" s="61">
        <f>IF(D64&lt;&gt;0,C64/D64,0)</f>
        <v>5.7706817302222289E-2</v>
      </c>
      <c r="G64" s="4"/>
      <c r="H64" s="39">
        <v>1.2169031925034866</v>
      </c>
      <c r="I64" s="4"/>
      <c r="J64" s="36">
        <f>C64*H64</f>
        <v>776.33746012694337</v>
      </c>
      <c r="K64" s="61">
        <f>F64*(H64)</f>
        <v>7.0223610204289744E-2</v>
      </c>
    </row>
    <row r="65" spans="1:13" x14ac:dyDescent="0.25">
      <c r="A65" s="245" t="s">
        <v>137</v>
      </c>
      <c r="B65" s="24">
        <v>7.6717602416399124</v>
      </c>
      <c r="C65" s="36">
        <v>874.32142012357178</v>
      </c>
      <c r="D65" s="24">
        <v>4228.6641565692053</v>
      </c>
      <c r="E65" s="4"/>
      <c r="F65" s="61">
        <f>IF(D65&lt;&gt;0,C65/D65,0)</f>
        <v>0.20676066666711249</v>
      </c>
      <c r="G65" s="4"/>
      <c r="H65" s="39">
        <v>1.5638897968218963</v>
      </c>
      <c r="I65" s="4"/>
      <c r="J65" s="36">
        <f>C65*H65</f>
        <v>1367.3423480740846</v>
      </c>
      <c r="K65" s="61">
        <f>F65*(H65)</f>
        <v>0.32335089698479036</v>
      </c>
    </row>
    <row r="66" spans="1:13" x14ac:dyDescent="0.25">
      <c r="A66" s="245" t="s">
        <v>107</v>
      </c>
      <c r="B66" s="24">
        <v>0.24296898167019326</v>
      </c>
      <c r="C66" s="36">
        <v>10.667553140229835</v>
      </c>
      <c r="D66" s="24">
        <v>212.63623320531269</v>
      </c>
      <c r="E66" s="4"/>
      <c r="F66" s="61">
        <f>IF(D66&lt;&gt;0,C66/D66,0)</f>
        <v>5.0168087439404978E-2</v>
      </c>
      <c r="G66" s="4"/>
      <c r="H66" s="39">
        <v>1.2169031925034866</v>
      </c>
      <c r="I66" s="4"/>
      <c r="J66" s="36">
        <f>C66*H66</f>
        <v>12.98137947254628</v>
      </c>
      <c r="K66" s="61">
        <f>F66*(H66)</f>
        <v>6.1049705766805983E-2</v>
      </c>
    </row>
    <row r="67" spans="1:13" x14ac:dyDescent="0.25">
      <c r="A67" s="245" t="s">
        <v>277</v>
      </c>
      <c r="B67" s="24">
        <f>SUM(B63:B66)</f>
        <v>49.969411433910842</v>
      </c>
      <c r="C67" s="36">
        <f>SUM(C63:C66)</f>
        <v>2846.2586008683725</v>
      </c>
      <c r="D67" s="24">
        <f>SUM(D63:D66)</f>
        <v>40144.908376171777</v>
      </c>
      <c r="E67" s="4"/>
      <c r="F67" s="4"/>
      <c r="G67" s="4"/>
      <c r="I67" s="4"/>
      <c r="J67" s="36">
        <f>SUM(J63:J66)</f>
        <v>3884.2069509503658</v>
      </c>
      <c r="K67" s="61">
        <f>SUMPRODUCT(K63:K66,D63:D66)/D67</f>
        <v>9.6754659757944728E-2</v>
      </c>
    </row>
    <row r="68" spans="1:13" ht="5.15" customHeight="1" x14ac:dyDescent="0.25">
      <c r="A68" s="18"/>
      <c r="B68" s="34"/>
      <c r="C68" s="36"/>
      <c r="D68" s="34"/>
      <c r="E68" s="34"/>
      <c r="F68" s="31"/>
      <c r="G68" s="118"/>
      <c r="H68" s="39"/>
      <c r="I68" s="39"/>
      <c r="J68" s="32"/>
      <c r="K68" s="31"/>
    </row>
    <row r="69" spans="1:13" ht="12.75" customHeight="1" x14ac:dyDescent="0.25">
      <c r="A69" s="66" t="s">
        <v>389</v>
      </c>
      <c r="B69" s="34"/>
      <c r="C69" s="36"/>
      <c r="D69" s="34"/>
      <c r="E69" s="34"/>
      <c r="F69" s="61"/>
      <c r="G69" s="118"/>
      <c r="H69" s="39"/>
      <c r="I69" s="39"/>
      <c r="J69" s="36"/>
      <c r="K69" s="61"/>
    </row>
    <row r="70" spans="1:13" ht="12.75" customHeight="1" x14ac:dyDescent="0.25">
      <c r="A70" s="245" t="s">
        <v>135</v>
      </c>
      <c r="B70" s="34">
        <f t="shared" ref="B70:D73" si="1">SUM(B48,B56,B63)</f>
        <v>72.973596652309112</v>
      </c>
      <c r="C70" s="36">
        <f t="shared" si="1"/>
        <v>3073.6553499638203</v>
      </c>
      <c r="D70" s="34">
        <f t="shared" si="1"/>
        <v>56630.95145055242</v>
      </c>
      <c r="E70" s="34"/>
      <c r="F70" s="61">
        <f>IF(D70&lt;&gt;0,C70/D70,0)</f>
        <v>5.4275184704385498E-2</v>
      </c>
      <c r="G70" s="118"/>
      <c r="H70" s="39">
        <v>1.305475124586952</v>
      </c>
      <c r="I70" s="39"/>
      <c r="J70" s="36">
        <f>C70*H70</f>
        <v>4012.5806009313701</v>
      </c>
      <c r="K70" s="61">
        <f>F70*(H70)</f>
        <v>7.0854903513937487E-2</v>
      </c>
    </row>
    <row r="71" spans="1:13" ht="12.75" customHeight="1" x14ac:dyDescent="0.25">
      <c r="A71" s="246" t="s">
        <v>136</v>
      </c>
      <c r="B71" s="34">
        <f t="shared" si="1"/>
        <v>29.70258303321198</v>
      </c>
      <c r="C71" s="36">
        <f t="shared" si="1"/>
        <v>1450.6310052721865</v>
      </c>
      <c r="D71" s="34">
        <f t="shared" si="1"/>
        <v>25063.376923516917</v>
      </c>
      <c r="E71" s="34"/>
      <c r="F71" s="61">
        <f>IF(D71&lt;&gt;0,C71/D71,0)</f>
        <v>5.7878513725381608E-2</v>
      </c>
      <c r="G71" s="118"/>
      <c r="H71" s="39">
        <v>1.2169031925034866</v>
      </c>
      <c r="I71" s="39"/>
      <c r="J71" s="36">
        <f>C71*H71</f>
        <v>1765.2775014602657</v>
      </c>
      <c r="K71" s="61">
        <f>F71*(H71)</f>
        <v>7.0432548129773745E-2</v>
      </c>
    </row>
    <row r="72" spans="1:13" ht="12.75" customHeight="1" x14ac:dyDescent="0.25">
      <c r="A72" s="245" t="s">
        <v>137</v>
      </c>
      <c r="B72" s="34">
        <f t="shared" si="1"/>
        <v>14.359591052088511</v>
      </c>
      <c r="C72" s="36">
        <f t="shared" si="1"/>
        <v>1298.4489389305904</v>
      </c>
      <c r="D72" s="34">
        <f t="shared" si="1"/>
        <v>9181.8110171789231</v>
      </c>
      <c r="E72" s="34"/>
      <c r="F72" s="61">
        <f>IF(D72&lt;&gt;0,C72/D72,0)</f>
        <v>0.14141534132005409</v>
      </c>
      <c r="G72" s="118"/>
      <c r="H72" s="39">
        <v>1.5638897968218963</v>
      </c>
      <c r="I72" s="39"/>
      <c r="J72" s="36">
        <f>C72*H72</f>
        <v>2030.6310472877678</v>
      </c>
      <c r="K72" s="61">
        <f>F72*(H72)</f>
        <v>0.22115800940451852</v>
      </c>
    </row>
    <row r="73" spans="1:13" ht="12.75" customHeight="1" x14ac:dyDescent="0.25">
      <c r="A73" s="245" t="s">
        <v>107</v>
      </c>
      <c r="B73" s="34">
        <f t="shared" si="1"/>
        <v>0.40238245349819246</v>
      </c>
      <c r="C73" s="36">
        <f t="shared" si="1"/>
        <v>17.66660162083814</v>
      </c>
      <c r="D73" s="34">
        <f t="shared" si="1"/>
        <v>352.14819863676416</v>
      </c>
      <c r="E73" s="34"/>
      <c r="F73" s="61">
        <f>IF(D73&lt;&gt;0,C73/D73,0)</f>
        <v>5.0168087439404985E-2</v>
      </c>
      <c r="G73" s="118"/>
      <c r="H73" s="39">
        <v>1.2169031925034866</v>
      </c>
      <c r="I73" s="39"/>
      <c r="J73" s="36">
        <f>C73*H73</f>
        <v>21.498543913085204</v>
      </c>
      <c r="K73" s="61">
        <f>F73*(H73)</f>
        <v>6.1049705766805989E-2</v>
      </c>
    </row>
    <row r="74" spans="1:13" ht="12.75" customHeight="1" x14ac:dyDescent="0.25">
      <c r="A74" s="245" t="s">
        <v>102</v>
      </c>
      <c r="B74" s="34">
        <f>SUM(B70:B73)</f>
        <v>117.43815319110779</v>
      </c>
      <c r="C74" s="36">
        <f>SUM(C70:C73)</f>
        <v>5840.4018957874359</v>
      </c>
      <c r="D74" s="34">
        <f>SUM(D70:D73)</f>
        <v>91228.287589885018</v>
      </c>
      <c r="E74" s="34"/>
      <c r="F74" s="31"/>
      <c r="G74" s="118"/>
      <c r="H74" s="39"/>
      <c r="I74" s="39"/>
      <c r="J74" s="36">
        <f>SUM(J70:J73)</f>
        <v>7829.9876935924885</v>
      </c>
      <c r="K74" s="61">
        <f>SUMPRODUCT(K70:K73,D70:D73)/D74</f>
        <v>8.5828506710462937E-2</v>
      </c>
    </row>
    <row r="75" spans="1:13" ht="5.15" customHeight="1" x14ac:dyDescent="0.25">
      <c r="A75" s="18"/>
      <c r="B75" s="34"/>
      <c r="C75" s="36"/>
      <c r="D75" s="34"/>
      <c r="E75" s="34"/>
      <c r="F75" s="31"/>
      <c r="G75" s="118"/>
      <c r="H75" s="39"/>
      <c r="I75" s="39"/>
      <c r="J75" s="32"/>
      <c r="K75" s="31"/>
    </row>
    <row r="76" spans="1:13" x14ac:dyDescent="0.25">
      <c r="A76" s="59"/>
      <c r="B76" s="34"/>
      <c r="C76" s="36"/>
      <c r="D76" s="34"/>
      <c r="E76" s="34"/>
      <c r="F76" s="61"/>
      <c r="G76" s="118"/>
      <c r="H76" s="39"/>
      <c r="I76" s="39"/>
      <c r="J76" s="36"/>
      <c r="K76" s="61"/>
      <c r="L76" s="62"/>
    </row>
    <row r="77" spans="1:13" ht="13" x14ac:dyDescent="0.3">
      <c r="A77" s="14" t="s">
        <v>285</v>
      </c>
      <c r="B77" s="20"/>
      <c r="C77" s="32"/>
      <c r="D77" s="30"/>
      <c r="E77" s="30"/>
      <c r="F77" s="31"/>
      <c r="G77" s="118"/>
      <c r="H77" s="39"/>
      <c r="I77" s="39"/>
      <c r="J77" s="32"/>
      <c r="K77" s="31"/>
    </row>
    <row r="78" spans="1:13" x14ac:dyDescent="0.25">
      <c r="A78" s="245" t="s">
        <v>135</v>
      </c>
      <c r="B78" s="34">
        <v>267.69102366768635</v>
      </c>
      <c r="C78" s="36">
        <v>12957.957210881737</v>
      </c>
      <c r="D78" s="34">
        <v>349944.98849289195</v>
      </c>
      <c r="E78" s="34"/>
      <c r="F78" s="61">
        <f>IF(D78&lt;&gt;0,C78/D78,0)</f>
        <v>3.7028554878547539E-2</v>
      </c>
      <c r="G78" s="118"/>
      <c r="H78" s="39">
        <v>1.305475124586952</v>
      </c>
      <c r="I78" s="39"/>
      <c r="J78" s="36">
        <f>C78*H78</f>
        <v>16916.290804268228</v>
      </c>
      <c r="K78" s="61">
        <f>F78*(H78)</f>
        <v>4.8339857293346639E-2</v>
      </c>
      <c r="M78" s="48"/>
    </row>
    <row r="79" spans="1:13" x14ac:dyDescent="0.25">
      <c r="A79" s="246" t="s">
        <v>136</v>
      </c>
      <c r="B79" s="34">
        <v>76.362030221472779</v>
      </c>
      <c r="C79" s="36">
        <v>3588.0896152647633</v>
      </c>
      <c r="D79" s="34">
        <v>99369.381184223603</v>
      </c>
      <c r="E79" s="34"/>
      <c r="F79" s="61">
        <f>IF(D79&lt;&gt;0,C79/D79,0)</f>
        <v>3.6108603802339337E-2</v>
      </c>
      <c r="G79" s="118"/>
      <c r="H79" s="39">
        <v>1.2169031925034866</v>
      </c>
      <c r="I79" s="39"/>
      <c r="J79" s="36">
        <f>C79*H79</f>
        <v>4366.3577078042972</v>
      </c>
      <c r="K79" s="61">
        <f>F79*(H79)</f>
        <v>4.3940675243910272E-2</v>
      </c>
      <c r="M79" s="48"/>
    </row>
    <row r="80" spans="1:13" x14ac:dyDescent="0.25">
      <c r="A80" s="245" t="s">
        <v>137</v>
      </c>
      <c r="B80" s="34">
        <v>18.48472871523947</v>
      </c>
      <c r="C80" s="36">
        <v>890.90846988839689</v>
      </c>
      <c r="D80" s="34">
        <v>21848.597760204979</v>
      </c>
      <c r="E80" s="34"/>
      <c r="F80" s="61">
        <f>IF(D80&lt;&gt;0,C80/D80,0)</f>
        <v>4.0776459874742946E-2</v>
      </c>
      <c r="G80" s="118"/>
      <c r="H80" s="39">
        <v>1.5638897968218963</v>
      </c>
      <c r="I80" s="39"/>
      <c r="J80" s="36">
        <f>C80*H80</f>
        <v>1393.2826659606715</v>
      </c>
      <c r="K80" s="61">
        <f>F80*(H80)</f>
        <v>6.3769889548627959E-2</v>
      </c>
      <c r="M80" s="48"/>
    </row>
    <row r="81" spans="1:14" x14ac:dyDescent="0.25">
      <c r="A81" s="245" t="s">
        <v>107</v>
      </c>
      <c r="B81" s="34">
        <v>2.8167056780878545</v>
      </c>
      <c r="C81" s="36">
        <v>123.66746279644727</v>
      </c>
      <c r="D81" s="34">
        <v>1887.1220518656032</v>
      </c>
      <c r="E81" s="34"/>
      <c r="F81" s="61">
        <f>IF(D81&lt;&gt;0,C81/D81,0)</f>
        <v>6.5532307607867754E-2</v>
      </c>
      <c r="G81" s="118"/>
      <c r="H81" s="39">
        <v>1.2169031925034866</v>
      </c>
      <c r="I81" s="39"/>
      <c r="J81" s="36">
        <f>C81*H81</f>
        <v>150.49133028580283</v>
      </c>
      <c r="K81" s="61">
        <f>F81*(H81)</f>
        <v>7.9746474340134793E-2</v>
      </c>
      <c r="M81" s="48"/>
    </row>
    <row r="82" spans="1:14" x14ac:dyDescent="0.25">
      <c r="A82" s="245" t="s">
        <v>102</v>
      </c>
      <c r="B82" s="34">
        <f>SUM(B78:B81)</f>
        <v>365.35448828248639</v>
      </c>
      <c r="C82" s="36">
        <f>SUM(C78:C81)</f>
        <v>17560.622758831341</v>
      </c>
      <c r="D82" s="34">
        <f>SUM(D78:D81)</f>
        <v>473050.08948918618</v>
      </c>
      <c r="E82" s="34"/>
      <c r="F82" s="61">
        <f>IF(D82&lt;&gt;0,C82/D82,0)</f>
        <v>3.712212120664396E-2</v>
      </c>
      <c r="G82" s="118"/>
      <c r="H82" s="39"/>
      <c r="I82" s="39"/>
      <c r="J82" s="36">
        <f>SUM(J78:J81)</f>
        <v>22826.422508319003</v>
      </c>
      <c r="K82" s="61">
        <f>SUMPRODUCT(K78:K81,D78:D81)/D82</f>
        <v>4.8253711426136006E-2</v>
      </c>
      <c r="M82" s="48"/>
    </row>
    <row r="83" spans="1:14" ht="5.15" customHeight="1" x14ac:dyDescent="0.25">
      <c r="B83" s="42"/>
      <c r="C83" s="36"/>
      <c r="D83" s="34"/>
      <c r="E83" s="34"/>
      <c r="F83" s="35"/>
      <c r="G83" s="20"/>
      <c r="H83" s="40"/>
      <c r="I83" s="40"/>
      <c r="J83" s="36"/>
      <c r="K83" s="31"/>
    </row>
    <row r="84" spans="1:14" ht="12.75" customHeight="1" x14ac:dyDescent="0.25"/>
    <row r="85" spans="1:14" ht="15.5" x14ac:dyDescent="0.35">
      <c r="A85" s="117" t="s">
        <v>56</v>
      </c>
    </row>
    <row r="86" spans="1:14" ht="15.5" x14ac:dyDescent="0.35">
      <c r="A86" s="117" t="s">
        <v>787</v>
      </c>
    </row>
    <row r="87" spans="1:14" ht="25" x14ac:dyDescent="0.25">
      <c r="B87" s="138" t="s">
        <v>223</v>
      </c>
      <c r="C87" s="107" t="s">
        <v>217</v>
      </c>
      <c r="D87" s="125" t="s">
        <v>222</v>
      </c>
      <c r="E87" s="125"/>
      <c r="F87" s="126" t="s">
        <v>207</v>
      </c>
      <c r="G87" s="118"/>
      <c r="H87" s="119" t="s">
        <v>246</v>
      </c>
      <c r="I87" s="118"/>
      <c r="J87" s="138" t="s">
        <v>110</v>
      </c>
      <c r="K87" s="31" t="s">
        <v>133</v>
      </c>
    </row>
    <row r="88" spans="1:14" x14ac:dyDescent="0.25">
      <c r="A88" s="17" t="s">
        <v>390</v>
      </c>
      <c r="B88" s="42"/>
      <c r="C88" s="36"/>
      <c r="D88" s="34"/>
      <c r="E88" s="34"/>
      <c r="F88" s="35"/>
      <c r="G88" s="20"/>
      <c r="H88" s="40"/>
      <c r="I88" s="40"/>
      <c r="J88" s="36"/>
      <c r="K88" s="31"/>
      <c r="N88" s="48"/>
    </row>
    <row r="89" spans="1:14" x14ac:dyDescent="0.25">
      <c r="A89" s="18" t="s">
        <v>186</v>
      </c>
      <c r="B89" s="42"/>
      <c r="C89" s="36"/>
      <c r="D89" s="34"/>
      <c r="E89" s="34"/>
      <c r="F89" s="35"/>
      <c r="G89" s="20"/>
      <c r="H89" s="40"/>
      <c r="I89" s="40"/>
      <c r="J89" s="36"/>
      <c r="K89" s="31"/>
      <c r="N89" s="48"/>
    </row>
    <row r="90" spans="1:14" x14ac:dyDescent="0.25">
      <c r="A90" s="59" t="s">
        <v>138</v>
      </c>
      <c r="B90" s="41" t="s">
        <v>106</v>
      </c>
      <c r="C90" s="36">
        <f>'Table 3.14-Route UAA'!C90*SUM($D$103,$D$109)/SUM($D$103,$D$109,'Table 3.16-Route UAA PARS'!$D$103,'Table 3.16-Route UAA PARS'!$D$109)</f>
        <v>107.47110494176333</v>
      </c>
      <c r="D90" s="30">
        <f>'Table 3.14-Route UAA'!D90*SUM($D$103,$D$109)/SUM($D$103,$D$109,'Table 3.16-Route UAA PARS'!$D$103,'Table 3.16-Route UAA PARS'!$D$109)</f>
        <v>1789.389026595393</v>
      </c>
      <c r="E90" s="24" t="s">
        <v>239</v>
      </c>
      <c r="F90" s="61">
        <f>IF(D90&lt;&gt;0,C90/D90,0)</f>
        <v>6.0060223542470689E-2</v>
      </c>
      <c r="G90" s="205" t="s">
        <v>240</v>
      </c>
      <c r="H90" s="39">
        <v>1.3146614554631439</v>
      </c>
      <c r="I90" s="39"/>
      <c r="J90" s="36">
        <f>C90*H90</f>
        <v>141.28811924297085</v>
      </c>
      <c r="K90" s="61">
        <f>F90*(H90)</f>
        <v>7.8958860897786295E-2</v>
      </c>
    </row>
    <row r="91" spans="1:14" x14ac:dyDescent="0.25">
      <c r="A91" s="59" t="s">
        <v>781</v>
      </c>
      <c r="B91" s="41" t="s">
        <v>106</v>
      </c>
      <c r="C91" s="36">
        <f>'Table 3.14-Route UAA'!C91*SUM($D$103,$D$109)/SUM($D$103,$D$109,'Table 3.16-Route UAA PARS'!$D$103,'Table 3.16-Route UAA PARS'!$D$109)</f>
        <v>461.85217097887539</v>
      </c>
      <c r="D91" s="30">
        <f>'Table 3.14-Route UAA'!D91*SUM($D$103,$D$109)/SUM($D$103,$D$109,'Table 3.16-Route UAA PARS'!$D$103,'Table 3.16-Route UAA PARS'!$D$109)</f>
        <v>1789.389026595393</v>
      </c>
      <c r="E91" s="24" t="s">
        <v>239</v>
      </c>
      <c r="F91" s="61">
        <f>IF(D91&lt;&gt;0,C91/D91,0)</f>
        <v>0.25810607090713256</v>
      </c>
      <c r="G91" s="205" t="s">
        <v>240</v>
      </c>
      <c r="H91" s="248">
        <v>1.7351466784479892</v>
      </c>
      <c r="I91" s="39"/>
      <c r="J91" s="36">
        <f>C91*H91</f>
        <v>801.38126040798841</v>
      </c>
      <c r="K91" s="61">
        <f>F91*(H91)</f>
        <v>0.44785189162177225</v>
      </c>
      <c r="L91" s="28"/>
      <c r="M91" s="334"/>
    </row>
    <row r="92" spans="1:14" x14ac:dyDescent="0.25">
      <c r="A92" s="18" t="s">
        <v>187</v>
      </c>
      <c r="B92" s="41"/>
      <c r="C92" s="36"/>
      <c r="D92" s="30"/>
      <c r="E92" s="30"/>
      <c r="F92" s="31"/>
      <c r="G92" s="118"/>
      <c r="H92" s="39"/>
      <c r="I92" s="39"/>
      <c r="J92" s="32"/>
      <c r="K92" s="31"/>
    </row>
    <row r="93" spans="1:14" x14ac:dyDescent="0.25">
      <c r="A93" s="59" t="s">
        <v>138</v>
      </c>
      <c r="B93" s="41" t="s">
        <v>106</v>
      </c>
      <c r="C93" s="36">
        <f>'Table 3.14-Route UAA'!C93*$D$111/SUM($D$111,'Table 3.16-Route UAA PARS'!$D$111)</f>
        <v>56.286772527740844</v>
      </c>
      <c r="D93" s="30">
        <f>'Table 3.14-Route UAA'!D93*$D$111/SUM($D$111,'Table 3.16-Route UAA PARS'!$D$111)</f>
        <v>1025.4097585704546</v>
      </c>
      <c r="E93" s="24" t="s">
        <v>239</v>
      </c>
      <c r="F93" s="61">
        <f>IF(D93&lt;&gt;0,C93/D93,0)</f>
        <v>5.4891980554399464E-2</v>
      </c>
      <c r="G93" s="205" t="s">
        <v>240</v>
      </c>
      <c r="H93" s="39">
        <v>1.3146614554631439</v>
      </c>
      <c r="I93" s="39"/>
      <c r="J93" s="36">
        <f>C93*H93</f>
        <v>73.998050294642681</v>
      </c>
      <c r="K93" s="61">
        <f>F93*(H93)</f>
        <v>7.2164371048901388E-2</v>
      </c>
    </row>
    <row r="94" spans="1:14" x14ac:dyDescent="0.25">
      <c r="A94" s="59" t="s">
        <v>781</v>
      </c>
      <c r="B94" s="41" t="s">
        <v>106</v>
      </c>
      <c r="C94" s="36">
        <f>'Table 3.14-Route UAA'!C94*$D$111/SUM($D$111,'Table 3.16-Route UAA PARS'!$D$111)</f>
        <v>120.87177613070621</v>
      </c>
      <c r="D94" s="30">
        <f>'Table 3.14-Route UAA'!D94*$D$111/SUM($D$111,'Table 3.16-Route UAA PARS'!$D$111)</f>
        <v>1025.4097585704546</v>
      </c>
      <c r="E94" s="24" t="s">
        <v>239</v>
      </c>
      <c r="F94" s="61">
        <f>IF(D94&lt;&gt;0,C94/D94,0)</f>
        <v>0.11787656117025461</v>
      </c>
      <c r="G94" s="205" t="s">
        <v>240</v>
      </c>
      <c r="H94" s="248">
        <v>1.7351466784479892</v>
      </c>
      <c r="I94" s="40"/>
      <c r="J94" s="36">
        <f>C94*H94</f>
        <v>209.73026087130381</v>
      </c>
      <c r="K94" s="61">
        <f>F94*(H94)</f>
        <v>0.20453312358143849</v>
      </c>
      <c r="L94" s="28"/>
      <c r="M94" s="334"/>
    </row>
    <row r="95" spans="1:14" x14ac:dyDescent="0.25">
      <c r="A95" s="59"/>
      <c r="B95" s="42"/>
      <c r="C95" s="36"/>
      <c r="D95" s="34"/>
      <c r="E95" s="34"/>
      <c r="F95" s="35"/>
      <c r="G95" s="20"/>
      <c r="H95" s="40"/>
      <c r="I95" s="40"/>
      <c r="J95" s="36"/>
      <c r="K95" s="31"/>
    </row>
    <row r="96" spans="1:14" x14ac:dyDescent="0.25">
      <c r="A96" s="17" t="s">
        <v>391</v>
      </c>
      <c r="B96" s="42"/>
      <c r="C96" s="36"/>
      <c r="D96" s="34"/>
      <c r="E96" s="34"/>
      <c r="F96" s="35"/>
      <c r="G96" s="20"/>
      <c r="H96" s="40"/>
      <c r="I96" s="40"/>
      <c r="J96" s="36"/>
      <c r="K96" s="31"/>
    </row>
    <row r="97" spans="1:11" ht="5.15" customHeight="1" x14ac:dyDescent="0.25">
      <c r="A97" s="17"/>
      <c r="B97" s="42"/>
      <c r="C97" s="36"/>
      <c r="D97" s="34"/>
      <c r="E97" s="34"/>
      <c r="F97" s="35"/>
      <c r="G97" s="20"/>
      <c r="H97" s="40"/>
      <c r="I97" s="40"/>
      <c r="J97" s="36"/>
      <c r="K97" s="31"/>
    </row>
    <row r="98" spans="1:11" x14ac:dyDescent="0.25">
      <c r="A98" s="60" t="s">
        <v>284</v>
      </c>
      <c r="B98" s="42"/>
      <c r="C98" s="36"/>
      <c r="D98" s="34"/>
      <c r="E98" s="34"/>
      <c r="F98" s="35"/>
      <c r="G98" s="20"/>
      <c r="H98" s="40"/>
      <c r="I98" s="40"/>
      <c r="J98" s="36"/>
      <c r="K98" s="31"/>
    </row>
    <row r="99" spans="1:11" x14ac:dyDescent="0.25">
      <c r="A99" s="246" t="s">
        <v>280</v>
      </c>
      <c r="B99" s="41" t="s">
        <v>106</v>
      </c>
      <c r="C99" s="36" t="s">
        <v>106</v>
      </c>
      <c r="D99" s="30">
        <f>D11</f>
        <v>41637.612962509142</v>
      </c>
      <c r="E99" s="30"/>
      <c r="F99" s="41" t="s">
        <v>106</v>
      </c>
      <c r="G99" s="118"/>
      <c r="H99" s="41" t="s">
        <v>106</v>
      </c>
      <c r="I99" s="39"/>
      <c r="J99" s="36">
        <f>J11+SUM($J$90:$J$91)*D99/SUM($D$103,$D$109)</f>
        <v>5086.985405143053</v>
      </c>
      <c r="K99" s="61">
        <f>J99/D99</f>
        <v>0.12217283948826312</v>
      </c>
    </row>
    <row r="100" spans="1:11" x14ac:dyDescent="0.25">
      <c r="A100" s="246" t="s">
        <v>287</v>
      </c>
      <c r="B100" s="41" t="s">
        <v>106</v>
      </c>
      <c r="C100" s="36" t="s">
        <v>106</v>
      </c>
      <c r="D100" s="30">
        <f>D18</f>
        <v>8753.6785785110187</v>
      </c>
      <c r="E100" s="30"/>
      <c r="F100" s="41" t="s">
        <v>106</v>
      </c>
      <c r="G100" s="118"/>
      <c r="H100" s="41" t="s">
        <v>106</v>
      </c>
      <c r="I100" s="39"/>
      <c r="J100" s="36">
        <f>J18+SUM($J$90:$J$91)*D100/SUM($D$103,$D$109)</f>
        <v>906.41261826051903</v>
      </c>
      <c r="K100" s="61">
        <f>J100/D100</f>
        <v>0.10354648164551386</v>
      </c>
    </row>
    <row r="101" spans="1:11" x14ac:dyDescent="0.25">
      <c r="A101" s="246" t="s">
        <v>282</v>
      </c>
      <c r="B101" s="41" t="s">
        <v>106</v>
      </c>
      <c r="C101" s="36" t="s">
        <v>106</v>
      </c>
      <c r="D101" s="30">
        <f>D25</f>
        <v>29538.236814774398</v>
      </c>
      <c r="E101" s="30"/>
      <c r="F101" s="41" t="s">
        <v>106</v>
      </c>
      <c r="G101" s="118"/>
      <c r="H101" s="41" t="s">
        <v>106</v>
      </c>
      <c r="I101" s="39"/>
      <c r="J101" s="36">
        <f>J25+SUM($J$90:$J$91)*D101/SUM($D$103,$D$109)</f>
        <v>4182.1415008842068</v>
      </c>
      <c r="K101" s="61">
        <f>J101/D101</f>
        <v>0.14158399254191056</v>
      </c>
    </row>
    <row r="102" spans="1:11" x14ac:dyDescent="0.25">
      <c r="A102" s="246" t="s">
        <v>276</v>
      </c>
      <c r="B102" s="41" t="s">
        <v>106</v>
      </c>
      <c r="C102" s="36" t="s">
        <v>106</v>
      </c>
      <c r="D102" s="30">
        <f>D32</f>
        <v>36102.169892335434</v>
      </c>
      <c r="E102" s="30"/>
      <c r="F102" s="41" t="s">
        <v>106</v>
      </c>
      <c r="G102" s="118"/>
      <c r="H102" s="41" t="s">
        <v>106</v>
      </c>
      <c r="I102" s="39"/>
      <c r="J102" s="36">
        <f>J32+SUM($J$90:$J$91)*D102/SUM($D$103,$D$109)</f>
        <v>4075.8154672403275</v>
      </c>
      <c r="K102" s="61">
        <f>J102/D102</f>
        <v>0.11289668957282348</v>
      </c>
    </row>
    <row r="103" spans="1:11" x14ac:dyDescent="0.25">
      <c r="A103" s="246" t="s">
        <v>281</v>
      </c>
      <c r="B103" s="41"/>
      <c r="C103" s="36"/>
      <c r="D103" s="30">
        <f>SUM(D99:D102)</f>
        <v>116031.69824812998</v>
      </c>
      <c r="E103" s="30"/>
      <c r="F103" s="41"/>
      <c r="G103" s="118"/>
      <c r="H103" s="41"/>
      <c r="I103" s="39"/>
      <c r="J103" s="36">
        <f>SUM(J99:J102)</f>
        <v>14251.354991528106</v>
      </c>
      <c r="K103" s="61">
        <f>J103/D103</f>
        <v>0.12282294585615777</v>
      </c>
    </row>
    <row r="104" spans="1:11" ht="5.15" customHeight="1" x14ac:dyDescent="0.25">
      <c r="A104" s="18"/>
      <c r="B104" s="41"/>
      <c r="C104" s="36"/>
      <c r="D104" s="30"/>
      <c r="E104" s="30"/>
      <c r="F104" s="41"/>
      <c r="G104" s="118"/>
      <c r="H104" s="41"/>
      <c r="I104" s="39"/>
      <c r="J104" s="36"/>
      <c r="K104" s="61"/>
    </row>
    <row r="105" spans="1:11" x14ac:dyDescent="0.25">
      <c r="A105" s="60" t="s">
        <v>392</v>
      </c>
    </row>
    <row r="106" spans="1:11" x14ac:dyDescent="0.25">
      <c r="A106" s="246" t="s">
        <v>386</v>
      </c>
      <c r="B106" s="41" t="s">
        <v>106</v>
      </c>
      <c r="C106" s="36" t="s">
        <v>106</v>
      </c>
      <c r="D106" s="30">
        <f>D52</f>
        <v>22504.486178404059</v>
      </c>
      <c r="E106" s="30"/>
      <c r="F106" s="41" t="s">
        <v>106</v>
      </c>
      <c r="G106" s="118"/>
      <c r="H106" s="41" t="s">
        <v>106</v>
      </c>
      <c r="I106" s="39"/>
      <c r="J106" s="36">
        <f>J52+SUM($J$90:$J$91)*D106/SUM($D$103,$D$109)</f>
        <v>2047.0908153732987</v>
      </c>
      <c r="K106" s="61">
        <f>J106/D106</f>
        <v>9.0963677159523193E-2</v>
      </c>
    </row>
    <row r="107" spans="1:11" x14ac:dyDescent="0.25">
      <c r="A107" s="246" t="s">
        <v>393</v>
      </c>
      <c r="B107" s="41" t="s">
        <v>106</v>
      </c>
      <c r="C107" s="36" t="s">
        <v>106</v>
      </c>
      <c r="D107" s="30">
        <f>D60</f>
        <v>28578.893035309178</v>
      </c>
      <c r="E107" s="30"/>
      <c r="F107" s="41" t="s">
        <v>106</v>
      </c>
      <c r="G107" s="118"/>
      <c r="H107" s="41" t="s">
        <v>106</v>
      </c>
      <c r="I107" s="39"/>
      <c r="J107" s="36">
        <f>J60+SUM($J$90:$J$91)*D107/SUM($D$103,$D$109)</f>
        <v>2131.0296970471613</v>
      </c>
      <c r="K107" s="61">
        <f>J107/D107</f>
        <v>7.4566558418280138E-2</v>
      </c>
    </row>
    <row r="108" spans="1:11" x14ac:dyDescent="0.25">
      <c r="A108" s="246" t="s">
        <v>388</v>
      </c>
      <c r="B108" s="41" t="s">
        <v>106</v>
      </c>
      <c r="C108" s="36" t="s">
        <v>106</v>
      </c>
      <c r="D108" s="30">
        <f>D67</f>
        <v>40144.908376171777</v>
      </c>
      <c r="E108" s="30"/>
      <c r="F108" s="41" t="s">
        <v>106</v>
      </c>
      <c r="G108" s="118"/>
      <c r="H108" s="41" t="s">
        <v>106</v>
      </c>
      <c r="I108" s="39"/>
      <c r="J108" s="36">
        <f>J67+SUM($J$90:$J$91)*D108/SUM($D$103,$D$109)</f>
        <v>4066.7958656513788</v>
      </c>
      <c r="K108" s="61">
        <f>J108/D108</f>
        <v>0.10130290565229555</v>
      </c>
    </row>
    <row r="109" spans="1:11" x14ac:dyDescent="0.25">
      <c r="A109" s="246" t="s">
        <v>394</v>
      </c>
      <c r="B109" s="41"/>
      <c r="C109" s="36"/>
      <c r="D109" s="30">
        <f>SUM(D106:D108)</f>
        <v>91228.287589885018</v>
      </c>
      <c r="E109" s="30"/>
      <c r="F109" s="41"/>
      <c r="G109" s="118"/>
      <c r="H109" s="41"/>
      <c r="I109" s="39"/>
      <c r="J109" s="36">
        <f>SUM(J106:J108)</f>
        <v>8244.9163780718391</v>
      </c>
      <c r="K109" s="61">
        <f>J109/D109</f>
        <v>9.0376752604813759E-2</v>
      </c>
    </row>
    <row r="110" spans="1:11" ht="5.15" customHeight="1" x14ac:dyDescent="0.25">
      <c r="A110" s="18"/>
      <c r="B110" s="41"/>
      <c r="C110" s="36"/>
      <c r="D110" s="30"/>
      <c r="E110" s="30"/>
      <c r="F110" s="41"/>
      <c r="G110" s="118"/>
      <c r="H110" s="41"/>
      <c r="I110" s="39"/>
      <c r="J110" s="36"/>
      <c r="K110" s="61"/>
    </row>
    <row r="111" spans="1:11" x14ac:dyDescent="0.25">
      <c r="A111" s="60" t="s">
        <v>286</v>
      </c>
      <c r="B111" s="41" t="s">
        <v>106</v>
      </c>
      <c r="C111" s="36" t="s">
        <v>106</v>
      </c>
      <c r="D111" s="30">
        <f>D82</f>
        <v>473050.08948918618</v>
      </c>
      <c r="E111" s="30"/>
      <c r="F111" s="41"/>
      <c r="G111" s="118"/>
      <c r="H111" s="41"/>
      <c r="I111" s="39"/>
      <c r="J111" s="36">
        <f>SUM(J93:J94)+J82</f>
        <v>23110.150819484948</v>
      </c>
      <c r="K111" s="61">
        <f>J111/D111</f>
        <v>4.8853496348431072E-2</v>
      </c>
    </row>
    <row r="112" spans="1:11" hidden="1" x14ac:dyDescent="0.25">
      <c r="A112" s="249"/>
      <c r="B112" s="41"/>
      <c r="C112" s="36"/>
      <c r="D112" s="30"/>
      <c r="E112" s="30"/>
      <c r="F112" s="41"/>
      <c r="G112" s="118"/>
      <c r="H112" s="41"/>
      <c r="I112" s="39"/>
      <c r="J112" s="36"/>
      <c r="K112" s="61"/>
    </row>
    <row r="113" spans="1:11" hidden="1" x14ac:dyDescent="0.25">
      <c r="B113" s="50"/>
      <c r="C113" s="51"/>
      <c r="K113" s="52"/>
    </row>
    <row r="114" spans="1:11" hidden="1" x14ac:dyDescent="0.25">
      <c r="A114" s="93" t="s">
        <v>191</v>
      </c>
      <c r="B114" s="247">
        <v>0</v>
      </c>
      <c r="C114" s="247">
        <v>0</v>
      </c>
      <c r="D114" s="247">
        <v>0</v>
      </c>
      <c r="E114" s="94"/>
      <c r="H114" s="92"/>
      <c r="I114" s="93"/>
      <c r="J114" s="247">
        <f>SUM(J103,J109)-J39-J74-SUM(J90:J91)</f>
        <v>0</v>
      </c>
    </row>
    <row r="115" spans="1:11" hidden="1" x14ac:dyDescent="0.25">
      <c r="A115" s="93"/>
      <c r="B115" s="247">
        <v>0</v>
      </c>
      <c r="C115" s="247">
        <v>0</v>
      </c>
      <c r="D115" s="247">
        <v>0</v>
      </c>
      <c r="E115" s="94"/>
      <c r="H115" s="92"/>
      <c r="I115" s="93"/>
      <c r="J115" s="247">
        <f>J111-J82-J93-J94</f>
        <v>-1.1368683772161603E-12</v>
      </c>
    </row>
    <row r="116" spans="1:11" hidden="1" x14ac:dyDescent="0.25">
      <c r="B116" s="247">
        <v>0</v>
      </c>
      <c r="C116" s="247">
        <v>0</v>
      </c>
      <c r="D116" s="247">
        <v>0</v>
      </c>
      <c r="H116" s="93"/>
      <c r="I116" s="93"/>
      <c r="J116" s="247">
        <v>0</v>
      </c>
    </row>
    <row r="117" spans="1:11" hidden="1" x14ac:dyDescent="0.25">
      <c r="B117" s="247">
        <v>0</v>
      </c>
      <c r="C117" s="247">
        <v>0</v>
      </c>
      <c r="D117" s="247">
        <v>0</v>
      </c>
      <c r="H117" s="20"/>
      <c r="I117" s="20"/>
      <c r="J117" s="247">
        <v>0</v>
      </c>
    </row>
    <row r="118" spans="1:11" hidden="1" x14ac:dyDescent="0.25">
      <c r="B118" s="247"/>
      <c r="C118" s="247"/>
      <c r="D118" s="247">
        <v>-2.3283064365386963E-10</v>
      </c>
      <c r="H118" s="20"/>
      <c r="I118" s="20"/>
      <c r="J118" s="247">
        <v>0</v>
      </c>
    </row>
    <row r="119" spans="1:11" x14ac:dyDescent="0.25">
      <c r="A119" s="103"/>
      <c r="B119" s="210"/>
      <c r="C119" s="211"/>
      <c r="D119" s="203"/>
    </row>
    <row r="120" spans="1:11" x14ac:dyDescent="0.25">
      <c r="A120" s="4" t="s">
        <v>235</v>
      </c>
    </row>
    <row r="121" spans="1:11" x14ac:dyDescent="0.25">
      <c r="A121" s="17" t="s">
        <v>796</v>
      </c>
    </row>
    <row r="122" spans="1:11" x14ac:dyDescent="0.25">
      <c r="A122" s="17" t="s">
        <v>795</v>
      </c>
    </row>
    <row r="123" spans="1:11" x14ac:dyDescent="0.25">
      <c r="A123" s="17" t="s">
        <v>797</v>
      </c>
    </row>
    <row r="124" spans="1:11" x14ac:dyDescent="0.25">
      <c r="A124" s="17" t="s">
        <v>91</v>
      </c>
    </row>
  </sheetData>
  <phoneticPr fontId="0" type="noConversion"/>
  <printOptions horizontalCentered="1"/>
  <pageMargins left="0.75" right="0.75" top="1" bottom="1" header="0.5" footer="0.5"/>
  <pageSetup scale="92" fitToHeight="3" orientation="landscape" r:id="rId1"/>
  <headerFooter alignWithMargins="0">
    <oddFooter>&amp;L&amp;F</oddFooter>
  </headerFooter>
  <rowBreaks count="2" manualBreakCount="2">
    <brk id="41" max="10" man="1"/>
    <brk id="84" max="10"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7"/>
  <dimension ref="A1:N126"/>
  <sheetViews>
    <sheetView zoomScale="70" zoomScaleNormal="70" workbookViewId="0"/>
  </sheetViews>
  <sheetFormatPr defaultColWidth="9.08984375" defaultRowHeight="12.5" x14ac:dyDescent="0.25"/>
  <cols>
    <col min="1" max="1" width="43.36328125" style="4" customWidth="1"/>
    <col min="2" max="2" width="11.6328125" style="47" customWidth="1"/>
    <col min="3" max="3" width="11.6328125" style="29" customWidth="1"/>
    <col min="4" max="4" width="11.6328125" style="24" customWidth="1"/>
    <col min="5" max="5" width="2.6328125" style="24" customWidth="1"/>
    <col min="6" max="6" width="11.6328125" style="28" customWidth="1"/>
    <col min="7" max="7" width="2.6328125" style="2" customWidth="1"/>
    <col min="8" max="8" width="11.6328125" style="4" customWidth="1"/>
    <col min="9" max="9" width="2.36328125" style="2" customWidth="1"/>
    <col min="10" max="10" width="11.6328125" style="2" customWidth="1"/>
    <col min="11" max="11" width="11.6328125" style="28" customWidth="1"/>
    <col min="12" max="12" width="9.08984375" style="4"/>
    <col min="13" max="13" width="11.36328125" style="4" bestFit="1" customWidth="1"/>
    <col min="14" max="14" width="11.08984375" style="4" bestFit="1" customWidth="1"/>
    <col min="15" max="16384" width="9.08984375" style="4"/>
  </cols>
  <sheetData>
    <row r="1" spans="1:12" ht="15.75" customHeight="1" x14ac:dyDescent="0.35">
      <c r="A1" s="117" t="s">
        <v>57</v>
      </c>
    </row>
    <row r="2" spans="1:12" ht="15.75" customHeight="1" x14ac:dyDescent="0.35">
      <c r="A2" s="117" t="s">
        <v>787</v>
      </c>
    </row>
    <row r="3" spans="1:12" ht="25" x14ac:dyDescent="0.25">
      <c r="B3" s="138" t="s">
        <v>248</v>
      </c>
      <c r="C3" s="107" t="s">
        <v>249</v>
      </c>
      <c r="D3" s="125" t="s">
        <v>250</v>
      </c>
      <c r="E3" s="125"/>
      <c r="F3" s="126" t="s">
        <v>207</v>
      </c>
      <c r="G3" s="118"/>
      <c r="H3" s="119" t="s">
        <v>246</v>
      </c>
      <c r="I3" s="118"/>
      <c r="J3" s="138" t="s">
        <v>110</v>
      </c>
      <c r="K3" s="31" t="s">
        <v>133</v>
      </c>
    </row>
    <row r="4" spans="1:12" ht="13" x14ac:dyDescent="0.3">
      <c r="A4" s="14" t="s">
        <v>283</v>
      </c>
    </row>
    <row r="5" spans="1:12" ht="5.15" customHeight="1" x14ac:dyDescent="0.3">
      <c r="A5" s="16"/>
    </row>
    <row r="6" spans="1:12" x14ac:dyDescent="0.25">
      <c r="A6" s="60" t="s">
        <v>275</v>
      </c>
      <c r="B6" s="42"/>
      <c r="C6" s="36"/>
      <c r="D6" s="30"/>
      <c r="E6" s="30"/>
      <c r="F6" s="31"/>
      <c r="G6" s="33"/>
      <c r="H6" s="39"/>
      <c r="I6" s="49"/>
      <c r="J6" s="49"/>
      <c r="K6" s="31"/>
    </row>
    <row r="7" spans="1:12" x14ac:dyDescent="0.25">
      <c r="A7" s="245" t="s">
        <v>135</v>
      </c>
      <c r="B7" s="34">
        <v>730.65150012513698</v>
      </c>
      <c r="C7" s="36">
        <v>31606.313396242203</v>
      </c>
      <c r="D7" s="34">
        <v>506200.57720011647</v>
      </c>
      <c r="E7" s="34"/>
      <c r="F7" s="61">
        <f>IF(D7&lt;&gt;0,C7/D7,0)</f>
        <v>6.2438319551238415E-2</v>
      </c>
      <c r="G7" s="118"/>
      <c r="H7" s="39">
        <v>1.305475124586952</v>
      </c>
      <c r="I7" s="39"/>
      <c r="J7" s="36">
        <f>C7*H7</f>
        <v>41261.25591869354</v>
      </c>
      <c r="K7" s="61">
        <f>F7*(H7)</f>
        <v>8.1511672995152898E-2</v>
      </c>
    </row>
    <row r="8" spans="1:12" ht="12.75" customHeight="1" x14ac:dyDescent="0.25">
      <c r="A8" s="246" t="s">
        <v>136</v>
      </c>
      <c r="B8" s="34">
        <v>271.3811482543324</v>
      </c>
      <c r="C8" s="36">
        <v>6837.7061400883676</v>
      </c>
      <c r="D8" s="34">
        <v>193497.96525719122</v>
      </c>
      <c r="E8" s="34"/>
      <c r="F8" s="61">
        <f>IF(D8&lt;&gt;0,C8/D8,0)</f>
        <v>3.5337354224887638E-2</v>
      </c>
      <c r="G8" s="118"/>
      <c r="H8" s="39">
        <v>1.2169031925034866</v>
      </c>
      <c r="I8" s="39"/>
      <c r="J8" s="36">
        <f>C8*H8</f>
        <v>8320.8264312742267</v>
      </c>
      <c r="K8" s="61">
        <f>F8*(H8)</f>
        <v>4.3002139170892337E-2</v>
      </c>
    </row>
    <row r="9" spans="1:12" x14ac:dyDescent="0.25">
      <c r="A9" s="245" t="s">
        <v>137</v>
      </c>
      <c r="B9" s="34">
        <v>194.70084076993132</v>
      </c>
      <c r="C9" s="36">
        <v>6157.0434544218497</v>
      </c>
      <c r="D9" s="34">
        <v>137023.23195074798</v>
      </c>
      <c r="E9" s="34"/>
      <c r="F9" s="61">
        <f>IF(D9&lt;&gt;0,C9/D9,0)</f>
        <v>4.4934303232863133E-2</v>
      </c>
      <c r="G9" s="118"/>
      <c r="H9" s="39">
        <v>1.5638897968218963</v>
      </c>
      <c r="I9" s="20"/>
      <c r="J9" s="36">
        <f>C9*H9</f>
        <v>9628.9374369593734</v>
      </c>
      <c r="K9" s="61">
        <f>F9*(H9)</f>
        <v>7.0272298353175805E-2</v>
      </c>
    </row>
    <row r="10" spans="1:12" x14ac:dyDescent="0.25">
      <c r="A10" s="245" t="s">
        <v>107</v>
      </c>
      <c r="B10" s="34">
        <v>5.106661743806618</v>
      </c>
      <c r="C10" s="36">
        <v>224.20798386182958</v>
      </c>
      <c r="D10" s="34">
        <v>3523.1492216931119</v>
      </c>
      <c r="E10" s="34"/>
      <c r="F10" s="61">
        <f>IF(D10&lt;&gt;0,C10/D10,0)</f>
        <v>6.3638514792763293E-2</v>
      </c>
      <c r="G10" s="118"/>
      <c r="H10" s="39">
        <v>1.2169031925034866</v>
      </c>
      <c r="I10" s="39"/>
      <c r="J10" s="36">
        <f>C10*H10</f>
        <v>272.83941134623058</v>
      </c>
      <c r="K10" s="61">
        <f>F10*(H10)</f>
        <v>7.7441911817494005E-2</v>
      </c>
    </row>
    <row r="11" spans="1:12" x14ac:dyDescent="0.25">
      <c r="A11" s="245" t="s">
        <v>277</v>
      </c>
      <c r="B11" s="34">
        <f>SUM(B7:B10)</f>
        <v>1201.8401508932072</v>
      </c>
      <c r="C11" s="36">
        <f>SUM(C7:C10)</f>
        <v>44825.27097461425</v>
      </c>
      <c r="D11" s="34">
        <f>SUM(D7:D10)</f>
        <v>840244.92362974887</v>
      </c>
      <c r="E11" s="34"/>
      <c r="F11" s="61">
        <f>IF(D11&lt;&gt;0,C11/D11,0)</f>
        <v>5.3347862883806434E-2</v>
      </c>
      <c r="G11" s="118"/>
      <c r="H11" s="39"/>
      <c r="I11" s="39"/>
      <c r="J11" s="36">
        <f>SUM(J7:J10)</f>
        <v>59483.859198273363</v>
      </c>
      <c r="K11" s="61">
        <f>SUMPRODUCT(K7:K10,D7:D10)/D11</f>
        <v>7.0793476432217922E-2</v>
      </c>
      <c r="L11" s="62"/>
    </row>
    <row r="12" spans="1:12" ht="5.15" customHeight="1" x14ac:dyDescent="0.25">
      <c r="A12" s="18"/>
      <c r="B12" s="34"/>
      <c r="C12" s="36"/>
      <c r="D12" s="34"/>
      <c r="E12" s="34"/>
      <c r="F12" s="61"/>
      <c r="G12" s="118"/>
      <c r="H12" s="39"/>
      <c r="I12" s="39"/>
      <c r="J12" s="36"/>
      <c r="K12" s="61"/>
      <c r="L12" s="62"/>
    </row>
    <row r="13" spans="1:12" x14ac:dyDescent="0.25">
      <c r="A13" s="66" t="s">
        <v>383</v>
      </c>
      <c r="B13" s="34"/>
      <c r="C13" s="36"/>
      <c r="D13" s="34"/>
      <c r="E13" s="34"/>
      <c r="F13" s="61"/>
      <c r="G13" s="118"/>
      <c r="H13" s="39"/>
      <c r="I13" s="39"/>
      <c r="J13" s="36"/>
      <c r="K13" s="61"/>
      <c r="L13" s="62"/>
    </row>
    <row r="14" spans="1:12" x14ac:dyDescent="0.25">
      <c r="A14" s="245" t="s">
        <v>135</v>
      </c>
      <c r="B14" s="34">
        <v>82.366144726356609</v>
      </c>
      <c r="C14" s="36">
        <v>3551.223287031698</v>
      </c>
      <c r="D14" s="34">
        <v>55979.699559110217</v>
      </c>
      <c r="E14" s="34"/>
      <c r="F14" s="61">
        <f>IF(D14&lt;&gt;0,C14/D14,0)</f>
        <v>6.3437698219188932E-2</v>
      </c>
      <c r="G14" s="118"/>
      <c r="H14" s="39">
        <v>1.305475124586952</v>
      </c>
      <c r="I14" s="39"/>
      <c r="J14" s="36">
        <f>C14*H14</f>
        <v>4636.0336630737911</v>
      </c>
      <c r="K14" s="61">
        <f>F14*(H14)</f>
        <v>8.2816336986205136E-2</v>
      </c>
      <c r="L14" s="62"/>
    </row>
    <row r="15" spans="1:12" x14ac:dyDescent="0.25">
      <c r="A15" s="246" t="s">
        <v>136</v>
      </c>
      <c r="B15" s="34">
        <v>44.754597656382138</v>
      </c>
      <c r="C15" s="36">
        <v>1121.8954623811719</v>
      </c>
      <c r="D15" s="34">
        <v>30876.751547427753</v>
      </c>
      <c r="E15" s="34"/>
      <c r="F15" s="61">
        <f>IF(D15&lt;&gt;0,C15/D15,0)</f>
        <v>3.6334633863860384E-2</v>
      </c>
      <c r="G15" s="118"/>
      <c r="H15" s="39">
        <v>1.2169031925034866</v>
      </c>
      <c r="I15" s="39"/>
      <c r="J15" s="36">
        <f>C15*H15</f>
        <v>1365.2381698268232</v>
      </c>
      <c r="K15" s="61">
        <f>F15*(H15)</f>
        <v>4.4215731947376997E-2</v>
      </c>
      <c r="L15" s="62"/>
    </row>
    <row r="16" spans="1:12" x14ac:dyDescent="0.25">
      <c r="A16" s="245" t="s">
        <v>137</v>
      </c>
      <c r="B16" s="34">
        <v>15.640334701802949</v>
      </c>
      <c r="C16" s="36">
        <v>493.10459565299988</v>
      </c>
      <c r="D16" s="34">
        <v>10790.460734648477</v>
      </c>
      <c r="E16" s="34"/>
      <c r="F16" s="61">
        <f>IF(D16&lt;&gt;0,C16/D16,0)</f>
        <v>4.5698196562601538E-2</v>
      </c>
      <c r="G16" s="118"/>
      <c r="H16" s="39">
        <v>1.5638897968218963</v>
      </c>
      <c r="I16" s="39"/>
      <c r="J16" s="36">
        <f>C16*H16</f>
        <v>771.16124590771335</v>
      </c>
      <c r="K16" s="61">
        <f>F16*(H16)</f>
        <v>7.1466943337414005E-2</v>
      </c>
      <c r="L16" s="62"/>
    </row>
    <row r="17" spans="1:13" ht="12.75" customHeight="1" x14ac:dyDescent="0.25">
      <c r="A17" s="245" t="s">
        <v>107</v>
      </c>
      <c r="B17" s="34">
        <v>0.86706202991493675</v>
      </c>
      <c r="C17" s="36">
        <v>38.068358423415297</v>
      </c>
      <c r="D17" s="34">
        <v>598.19683956144547</v>
      </c>
      <c r="E17" s="34"/>
      <c r="F17" s="61">
        <f>IF(D17&lt;&gt;0,C17/D17,0)</f>
        <v>6.3638514792763293E-2</v>
      </c>
      <c r="G17" s="118"/>
      <c r="H17" s="39">
        <v>1.2169031925034866</v>
      </c>
      <c r="I17" s="39"/>
      <c r="J17" s="36">
        <f>C17*H17</f>
        <v>46.325506898821068</v>
      </c>
      <c r="K17" s="61">
        <f>F17*(H17)</f>
        <v>7.7441911817494005E-2</v>
      </c>
      <c r="L17" s="62"/>
    </row>
    <row r="18" spans="1:13" x14ac:dyDescent="0.25">
      <c r="A18" s="245" t="s">
        <v>277</v>
      </c>
      <c r="B18" s="34">
        <f>SUM(B14:B17)</f>
        <v>143.62813911445662</v>
      </c>
      <c r="C18" s="36">
        <f>SUM(C14:C17)</f>
        <v>5204.2917034892853</v>
      </c>
      <c r="D18" s="34">
        <f>SUM(D14:D17)</f>
        <v>98245.108680747901</v>
      </c>
      <c r="E18" s="34"/>
      <c r="F18" s="61">
        <f>IF(D18&lt;&gt;0,C18/D18,0)</f>
        <v>5.2972527318391756E-2</v>
      </c>
      <c r="G18" s="118"/>
      <c r="H18" s="39"/>
      <c r="I18" s="39"/>
      <c r="J18" s="36">
        <f>SUM(J14:J17)</f>
        <v>6818.758585707149</v>
      </c>
      <c r="K18" s="61">
        <f>SUMPRODUCT(K14:K17,D14:D17)/D18</f>
        <v>6.9405578326194595E-2</v>
      </c>
      <c r="L18" s="62"/>
    </row>
    <row r="19" spans="1:13" ht="5.15" customHeight="1" x14ac:dyDescent="0.25">
      <c r="A19" s="59"/>
      <c r="B19" s="34"/>
      <c r="C19" s="34"/>
      <c r="D19" s="34"/>
      <c r="E19" s="34"/>
      <c r="F19" s="61"/>
      <c r="G19" s="118"/>
      <c r="H19" s="39"/>
      <c r="I19" s="39"/>
      <c r="J19" s="36"/>
      <c r="K19" s="61"/>
      <c r="L19" s="62"/>
    </row>
    <row r="20" spans="1:13" ht="12.75" customHeight="1" x14ac:dyDescent="0.25">
      <c r="A20" s="66" t="s">
        <v>384</v>
      </c>
      <c r="B20" s="34"/>
      <c r="C20" s="34"/>
      <c r="D20" s="34"/>
      <c r="E20" s="34"/>
      <c r="F20" s="61"/>
      <c r="G20" s="118"/>
      <c r="H20" s="39"/>
      <c r="I20" s="39"/>
      <c r="J20" s="36"/>
      <c r="K20" s="61"/>
      <c r="L20" s="62"/>
    </row>
    <row r="21" spans="1:13" ht="12.75" customHeight="1" x14ac:dyDescent="0.25">
      <c r="A21" s="245" t="s">
        <v>135</v>
      </c>
      <c r="B21" s="34">
        <v>239.19960557278333</v>
      </c>
      <c r="C21" s="36">
        <v>10313.111198551054</v>
      </c>
      <c r="D21" s="34">
        <v>160610.37054995983</v>
      </c>
      <c r="E21" s="34"/>
      <c r="F21" s="61">
        <f>IF(D21&lt;&gt;0,C21/D21,0)</f>
        <v>6.4211988075471349E-2</v>
      </c>
      <c r="G21" s="118"/>
      <c r="H21" s="39">
        <v>1.305475124586952</v>
      </c>
      <c r="I21" s="39"/>
      <c r="J21" s="36">
        <f>C21*H21</f>
        <v>13463.510126807527</v>
      </c>
      <c r="K21" s="61">
        <f>F21*(H21)</f>
        <v>8.382715313280184E-2</v>
      </c>
      <c r="L21" s="62"/>
    </row>
    <row r="22" spans="1:13" ht="12.75" customHeight="1" x14ac:dyDescent="0.25">
      <c r="A22" s="246" t="s">
        <v>136</v>
      </c>
      <c r="B22" s="34">
        <v>115.05509964093868</v>
      </c>
      <c r="C22" s="36">
        <v>2884.1683529820657</v>
      </c>
      <c r="D22" s="34">
        <v>79377.939070159569</v>
      </c>
      <c r="E22" s="34"/>
      <c r="F22" s="61">
        <f>IF(D22&lt;&gt;0,C22/D22,0)</f>
        <v>3.6334633863860377E-2</v>
      </c>
      <c r="G22" s="118"/>
      <c r="H22" s="39">
        <v>1.2169031925034866</v>
      </c>
      <c r="I22" s="39"/>
      <c r="J22" s="36">
        <f>C22*H22</f>
        <v>3509.7536764613983</v>
      </c>
      <c r="K22" s="61">
        <f>F22*(H22)</f>
        <v>4.4215731947376984E-2</v>
      </c>
      <c r="L22" s="62"/>
    </row>
    <row r="23" spans="1:13" ht="12.75" customHeight="1" x14ac:dyDescent="0.25">
      <c r="A23" s="245" t="s">
        <v>137</v>
      </c>
      <c r="B23" s="34">
        <v>50.131679296186825</v>
      </c>
      <c r="C23" s="36">
        <v>1580.539158532358</v>
      </c>
      <c r="D23" s="34">
        <v>34586.466806566255</v>
      </c>
      <c r="E23" s="34"/>
      <c r="F23" s="61">
        <f>IF(D23&lt;&gt;0,C23/D23,0)</f>
        <v>4.5698196562601531E-2</v>
      </c>
      <c r="G23" s="118"/>
      <c r="H23" s="39">
        <v>1.5638897968218963</v>
      </c>
      <c r="I23" s="39"/>
      <c r="J23" s="36">
        <f>C23*H23</f>
        <v>2471.7890635062204</v>
      </c>
      <c r="K23" s="61">
        <f>F23*(H23)</f>
        <v>7.1466943337413991E-2</v>
      </c>
      <c r="L23" s="62"/>
    </row>
    <row r="24" spans="1:13" ht="12.75" customHeight="1" x14ac:dyDescent="0.25">
      <c r="A24" s="245" t="s">
        <v>107</v>
      </c>
      <c r="B24" s="34">
        <v>1.7429013842473737</v>
      </c>
      <c r="C24" s="36">
        <v>76.522085275380945</v>
      </c>
      <c r="D24" s="34">
        <v>1202.4492640120936</v>
      </c>
      <c r="E24" s="34"/>
      <c r="F24" s="61">
        <f>IF(D24&lt;&gt;0,C24/D24,0)</f>
        <v>6.3638514792763279E-2</v>
      </c>
      <c r="G24" s="118"/>
      <c r="H24" s="39">
        <v>1.2169031925034866</v>
      </c>
      <c r="I24" s="39"/>
      <c r="J24" s="36">
        <f>C24*H24</f>
        <v>93.11996986863511</v>
      </c>
      <c r="K24" s="61">
        <f>F24*(H24)</f>
        <v>7.7441911817493991E-2</v>
      </c>
      <c r="L24" s="62"/>
    </row>
    <row r="25" spans="1:13" ht="12.75" customHeight="1" x14ac:dyDescent="0.25">
      <c r="A25" s="245" t="s">
        <v>277</v>
      </c>
      <c r="B25" s="34">
        <f>SUM(B21:B24)</f>
        <v>406.12928589415617</v>
      </c>
      <c r="C25" s="36">
        <f>SUM(C21:C24)</f>
        <v>14854.340795340859</v>
      </c>
      <c r="D25" s="34">
        <f>SUM(D21:D24)</f>
        <v>275777.22569069773</v>
      </c>
      <c r="E25" s="34"/>
      <c r="F25" s="61">
        <f>IF(D25&lt;&gt;0,C25/D25,0)</f>
        <v>5.3863551488479246E-2</v>
      </c>
      <c r="G25" s="118"/>
      <c r="H25" s="39"/>
      <c r="I25" s="39"/>
      <c r="J25" s="36">
        <f>SUM(J21:J24)</f>
        <v>19538.172836643782</v>
      </c>
      <c r="K25" s="61">
        <f>SUMPRODUCT(K21:K24,D21:D24)/D25</f>
        <v>7.0847666219389455E-2</v>
      </c>
      <c r="L25" s="62"/>
    </row>
    <row r="26" spans="1:13" ht="5.15" customHeight="1" x14ac:dyDescent="0.25">
      <c r="A26" s="59"/>
      <c r="B26" s="34"/>
      <c r="C26" s="34"/>
      <c r="D26" s="34"/>
      <c r="E26" s="34"/>
      <c r="F26" s="61"/>
      <c r="G26" s="118"/>
      <c r="H26" s="39"/>
      <c r="I26" s="39"/>
      <c r="J26" s="36"/>
      <c r="K26" s="61"/>
      <c r="L26" s="62"/>
    </row>
    <row r="27" spans="1:13" ht="12.75" customHeight="1" x14ac:dyDescent="0.25">
      <c r="A27" s="18" t="s">
        <v>276</v>
      </c>
      <c r="B27" s="34"/>
      <c r="C27" s="34"/>
      <c r="D27" s="34"/>
      <c r="E27" s="34"/>
      <c r="F27" s="61"/>
      <c r="G27" s="118"/>
      <c r="H27" s="39"/>
      <c r="I27" s="39"/>
      <c r="J27" s="36"/>
      <c r="K27" s="61"/>
      <c r="L27" s="62"/>
    </row>
    <row r="28" spans="1:13" ht="12.75" customHeight="1" x14ac:dyDescent="0.25">
      <c r="A28" s="245" t="s">
        <v>135</v>
      </c>
      <c r="B28" s="34">
        <v>0</v>
      </c>
      <c r="C28" s="36">
        <v>0</v>
      </c>
      <c r="D28" s="34">
        <v>0</v>
      </c>
      <c r="E28" s="34"/>
      <c r="F28" s="61">
        <f>IF(D28&lt;&gt;0,C28/D28,0)</f>
        <v>0</v>
      </c>
      <c r="G28" s="118"/>
      <c r="H28" s="39">
        <v>1.305475124586952</v>
      </c>
      <c r="I28" s="39"/>
      <c r="J28" s="36">
        <f>C28*H28</f>
        <v>0</v>
      </c>
      <c r="K28" s="61">
        <f>F28*(H28)</f>
        <v>0</v>
      </c>
      <c r="L28" s="62"/>
    </row>
    <row r="29" spans="1:13" ht="12.75" customHeight="1" x14ac:dyDescent="0.25">
      <c r="A29" s="246" t="s">
        <v>136</v>
      </c>
      <c r="B29" s="34">
        <v>0</v>
      </c>
      <c r="C29" s="36">
        <v>0</v>
      </c>
      <c r="D29" s="34">
        <v>0</v>
      </c>
      <c r="E29" s="34"/>
      <c r="F29" s="61">
        <f>IF(D29&lt;&gt;0,C29/D29,0)</f>
        <v>0</v>
      </c>
      <c r="G29" s="118"/>
      <c r="H29" s="39">
        <v>1.2169031925034866</v>
      </c>
      <c r="I29" s="39"/>
      <c r="J29" s="36">
        <f>C29*H29</f>
        <v>0</v>
      </c>
      <c r="K29" s="61">
        <f>F29*(H29)</f>
        <v>0</v>
      </c>
      <c r="L29" s="62"/>
    </row>
    <row r="30" spans="1:13" ht="12.75" customHeight="1" x14ac:dyDescent="0.25">
      <c r="A30" s="245" t="s">
        <v>137</v>
      </c>
      <c r="B30" s="34">
        <v>0</v>
      </c>
      <c r="C30" s="36">
        <v>0</v>
      </c>
      <c r="D30" s="34">
        <v>0</v>
      </c>
      <c r="E30" s="34"/>
      <c r="F30" s="61">
        <f>IF(D30&lt;&gt;0,C30/D30,0)</f>
        <v>0</v>
      </c>
      <c r="G30" s="118"/>
      <c r="H30" s="39">
        <v>1.5638897968218963</v>
      </c>
      <c r="I30" s="39"/>
      <c r="J30" s="36">
        <f>C30*H30</f>
        <v>0</v>
      </c>
      <c r="K30" s="61">
        <f>F30*(H30)</f>
        <v>0</v>
      </c>
      <c r="L30" s="62"/>
    </row>
    <row r="31" spans="1:13" ht="12.75" customHeight="1" x14ac:dyDescent="0.25">
      <c r="A31" s="245" t="s">
        <v>107</v>
      </c>
      <c r="B31" s="34">
        <v>0</v>
      </c>
      <c r="C31" s="36">
        <v>0</v>
      </c>
      <c r="D31" s="34">
        <v>0</v>
      </c>
      <c r="E31" s="34"/>
      <c r="F31" s="61">
        <f>IF(D31&lt;&gt;0,C31/D31,0)</f>
        <v>0</v>
      </c>
      <c r="G31" s="118"/>
      <c r="H31" s="39">
        <v>1.2169031925034866</v>
      </c>
      <c r="I31" s="39"/>
      <c r="J31" s="36">
        <f>C31*H31</f>
        <v>0</v>
      </c>
      <c r="K31" s="61">
        <f>F31*(H31)</f>
        <v>0</v>
      </c>
      <c r="L31" s="62"/>
    </row>
    <row r="32" spans="1:13" ht="12.75" customHeight="1" x14ac:dyDescent="0.3">
      <c r="A32" s="245" t="s">
        <v>277</v>
      </c>
      <c r="B32" s="34">
        <f>SUM(B28:B31)</f>
        <v>0</v>
      </c>
      <c r="C32" s="36">
        <f>SUM(C28:C31)</f>
        <v>0</v>
      </c>
      <c r="D32" s="34">
        <f>SUM(D28:D31)</f>
        <v>0</v>
      </c>
      <c r="E32" s="34"/>
      <c r="F32" s="61">
        <f>IF(D32&lt;&gt;0,C32/D32,0)</f>
        <v>0</v>
      </c>
      <c r="G32" s="118"/>
      <c r="H32" s="39"/>
      <c r="I32" s="39"/>
      <c r="J32" s="36">
        <f>SUM(J28:J31)</f>
        <v>0</v>
      </c>
      <c r="K32" s="61">
        <f>IF(D32&lt;&gt;0,SUMPRODUCT(K28:K31,D28:D31)/D32,0)</f>
        <v>0</v>
      </c>
      <c r="L32" s="62"/>
      <c r="M32" s="5"/>
    </row>
    <row r="33" spans="1:12" ht="5.15" customHeight="1" x14ac:dyDescent="0.25">
      <c r="A33" s="59"/>
      <c r="B33" s="34"/>
      <c r="C33" s="36"/>
      <c r="D33" s="34"/>
      <c r="E33" s="34"/>
      <c r="F33" s="61"/>
      <c r="G33" s="118"/>
      <c r="H33" s="39"/>
      <c r="I33" s="39"/>
      <c r="J33" s="36"/>
      <c r="K33" s="61"/>
      <c r="L33" s="62"/>
    </row>
    <row r="34" spans="1:12" ht="12.75" customHeight="1" x14ac:dyDescent="0.25">
      <c r="A34" s="66" t="s">
        <v>288</v>
      </c>
      <c r="B34" s="34"/>
      <c r="C34" s="36"/>
      <c r="D34" s="34"/>
      <c r="E34" s="34"/>
      <c r="F34" s="61"/>
      <c r="G34" s="118"/>
      <c r="H34" s="39"/>
      <c r="I34" s="39"/>
      <c r="J34" s="36"/>
      <c r="K34" s="61"/>
      <c r="L34" s="62"/>
    </row>
    <row r="35" spans="1:12" x14ac:dyDescent="0.25">
      <c r="A35" s="245" t="s">
        <v>135</v>
      </c>
      <c r="B35" s="34">
        <f t="shared" ref="B35:D38" si="0">SUM(B7,B14,B21,B28)</f>
        <v>1052.2172504242769</v>
      </c>
      <c r="C35" s="36">
        <f t="shared" si="0"/>
        <v>45470.64788182496</v>
      </c>
      <c r="D35" s="34">
        <f t="shared" si="0"/>
        <v>722790.64730918652</v>
      </c>
      <c r="E35" s="34"/>
      <c r="F35" s="61">
        <f>IF(D35&lt;&gt;0,C35/D35,0)</f>
        <v>6.2909845404203302E-2</v>
      </c>
      <c r="G35" s="118"/>
      <c r="H35" s="39">
        <v>1.305475124586952</v>
      </c>
      <c r="I35" s="39"/>
      <c r="J35" s="36">
        <f>SUM(J7,J14,J21,J28)</f>
        <v>59360.79970857485</v>
      </c>
      <c r="K35" s="61">
        <f>F35*(H35)</f>
        <v>8.21272382667982E-2</v>
      </c>
      <c r="L35" s="62"/>
    </row>
    <row r="36" spans="1:12" x14ac:dyDescent="0.25">
      <c r="A36" s="246" t="s">
        <v>136</v>
      </c>
      <c r="B36" s="34">
        <f t="shared" si="0"/>
        <v>431.19084555165324</v>
      </c>
      <c r="C36" s="36">
        <f t="shared" si="0"/>
        <v>10843.769955451606</v>
      </c>
      <c r="D36" s="34">
        <f t="shared" si="0"/>
        <v>303752.65587477852</v>
      </c>
      <c r="E36" s="34"/>
      <c r="F36" s="61">
        <f>IF(D36&lt;&gt;0,C36/D36,0)</f>
        <v>3.5699342032821373E-2</v>
      </c>
      <c r="G36" s="118"/>
      <c r="H36" s="39">
        <v>1.2169031925034866</v>
      </c>
      <c r="I36" s="39"/>
      <c r="J36" s="36">
        <f>SUM(J8,J15,J22,J29)</f>
        <v>13195.818277562448</v>
      </c>
      <c r="K36" s="61">
        <f>F36*(H36)</f>
        <v>4.3442643290014238E-2</v>
      </c>
      <c r="L36" s="62"/>
    </row>
    <row r="37" spans="1:12" x14ac:dyDescent="0.25">
      <c r="A37" s="245" t="s">
        <v>137</v>
      </c>
      <c r="B37" s="34">
        <f t="shared" si="0"/>
        <v>260.47285476792109</v>
      </c>
      <c r="C37" s="36">
        <f t="shared" si="0"/>
        <v>8230.6872086072071</v>
      </c>
      <c r="D37" s="34">
        <f t="shared" si="0"/>
        <v>182400.15949196272</v>
      </c>
      <c r="E37" s="34"/>
      <c r="F37" s="61">
        <f>IF(D37&lt;&gt;0,C37/D37,0)</f>
        <v>4.5124342169064191E-2</v>
      </c>
      <c r="G37" s="118"/>
      <c r="H37" s="39">
        <v>1.5638897968218963</v>
      </c>
      <c r="I37" s="39"/>
      <c r="J37" s="36">
        <f>SUM(J9,J16,J23,J30)</f>
        <v>12871.887746373308</v>
      </c>
      <c r="K37" s="61">
        <f>F37*(H37)</f>
        <v>7.0569498306499528E-2</v>
      </c>
      <c r="L37" s="62"/>
    </row>
    <row r="38" spans="1:12" x14ac:dyDescent="0.25">
      <c r="A38" s="245" t="s">
        <v>107</v>
      </c>
      <c r="B38" s="34">
        <f t="shared" si="0"/>
        <v>7.7166251579689291</v>
      </c>
      <c r="C38" s="36">
        <f t="shared" si="0"/>
        <v>338.79842756062584</v>
      </c>
      <c r="D38" s="34">
        <f t="shared" si="0"/>
        <v>5323.7953252666512</v>
      </c>
      <c r="E38" s="34"/>
      <c r="F38" s="61">
        <f>IF(D38&lt;&gt;0,C38/D38,0)</f>
        <v>6.3638514792763293E-2</v>
      </c>
      <c r="G38" s="118"/>
      <c r="H38" s="39">
        <v>1.2169031925034866</v>
      </c>
      <c r="I38" s="39"/>
      <c r="J38" s="36">
        <f>SUM(J10,J17,J24,J31)</f>
        <v>412.28488811368675</v>
      </c>
      <c r="K38" s="61">
        <f>F38*(H38)</f>
        <v>7.7441911817494005E-2</v>
      </c>
      <c r="L38" s="62"/>
    </row>
    <row r="39" spans="1:12" x14ac:dyDescent="0.25">
      <c r="A39" s="246" t="s">
        <v>102</v>
      </c>
      <c r="B39" s="34">
        <f>SUM(B35:B38)</f>
        <v>1751.5975759018202</v>
      </c>
      <c r="C39" s="36">
        <f>SUM(C35:C38)</f>
        <v>64883.903473444399</v>
      </c>
      <c r="D39" s="34">
        <f>SUM(D35:D38)</f>
        <v>1214267.2580011943</v>
      </c>
      <c r="E39" s="34"/>
      <c r="F39" s="61"/>
      <c r="G39" s="118"/>
      <c r="H39" s="39"/>
      <c r="I39" s="39"/>
      <c r="J39" s="36">
        <f>SUM(J35:J38)</f>
        <v>85840.790620624291</v>
      </c>
      <c r="K39" s="61">
        <f>SUMPRODUCT(K35:K38,D35:D38)/D39</f>
        <v>7.0693490296301703E-2</v>
      </c>
      <c r="L39" s="62"/>
    </row>
    <row r="40" spans="1:12" ht="5.15" customHeight="1" x14ac:dyDescent="0.25">
      <c r="A40" s="59"/>
      <c r="B40" s="34"/>
      <c r="C40" s="36"/>
      <c r="D40" s="34"/>
      <c r="E40" s="34"/>
      <c r="F40" s="61"/>
      <c r="G40" s="118"/>
      <c r="H40" s="39"/>
      <c r="I40" s="39"/>
      <c r="J40" s="36"/>
      <c r="K40" s="61"/>
      <c r="L40" s="62"/>
    </row>
    <row r="41" spans="1:12" x14ac:dyDescent="0.25">
      <c r="A41" s="59"/>
      <c r="B41" s="34"/>
      <c r="C41" s="36"/>
      <c r="D41" s="34"/>
      <c r="E41" s="34"/>
      <c r="F41" s="61"/>
      <c r="G41" s="118"/>
      <c r="H41" s="39"/>
      <c r="I41" s="39"/>
      <c r="J41" s="36"/>
      <c r="K41" s="61"/>
      <c r="L41" s="62"/>
    </row>
    <row r="42" spans="1:12" ht="15.5" x14ac:dyDescent="0.35">
      <c r="A42" s="117" t="s">
        <v>58</v>
      </c>
      <c r="L42" s="62"/>
    </row>
    <row r="43" spans="1:12" ht="15.5" x14ac:dyDescent="0.35">
      <c r="A43" s="117" t="s">
        <v>787</v>
      </c>
      <c r="L43" s="62"/>
    </row>
    <row r="44" spans="1:12" ht="25" x14ac:dyDescent="0.25">
      <c r="B44" s="138" t="s">
        <v>248</v>
      </c>
      <c r="C44" s="107" t="s">
        <v>249</v>
      </c>
      <c r="D44" s="125" t="s">
        <v>250</v>
      </c>
      <c r="E44" s="125"/>
      <c r="F44" s="126" t="s">
        <v>207</v>
      </c>
      <c r="G44" s="118"/>
      <c r="H44" s="119" t="s">
        <v>246</v>
      </c>
      <c r="I44" s="118"/>
      <c r="J44" s="138" t="s">
        <v>110</v>
      </c>
      <c r="K44" s="31" t="s">
        <v>133</v>
      </c>
      <c r="L44" s="62"/>
    </row>
    <row r="45" spans="1:12" ht="13" x14ac:dyDescent="0.3">
      <c r="A45" s="14" t="s">
        <v>385</v>
      </c>
      <c r="B45" s="34"/>
      <c r="C45" s="36"/>
      <c r="D45" s="34"/>
      <c r="E45" s="34"/>
      <c r="F45" s="61"/>
      <c r="G45" s="118"/>
      <c r="H45" s="39"/>
      <c r="I45" s="39"/>
      <c r="J45" s="36"/>
      <c r="K45" s="61"/>
      <c r="L45" s="62"/>
    </row>
    <row r="46" spans="1:12" ht="5.15" customHeight="1" x14ac:dyDescent="0.25">
      <c r="A46" s="59"/>
      <c r="B46" s="34"/>
      <c r="C46" s="36"/>
      <c r="D46" s="34"/>
      <c r="E46" s="34"/>
      <c r="F46" s="61"/>
      <c r="G46" s="118"/>
      <c r="H46" s="39"/>
      <c r="I46" s="39"/>
      <c r="J46" s="36"/>
      <c r="K46" s="61"/>
      <c r="L46" s="62"/>
    </row>
    <row r="47" spans="1:12" x14ac:dyDescent="0.25">
      <c r="A47" s="66" t="s">
        <v>386</v>
      </c>
      <c r="B47" s="34"/>
      <c r="C47" s="36"/>
      <c r="D47" s="34"/>
      <c r="E47" s="34"/>
      <c r="F47" s="31"/>
      <c r="G47" s="118"/>
      <c r="H47" s="39"/>
      <c r="I47" s="39"/>
      <c r="J47" s="32"/>
      <c r="K47" s="31"/>
      <c r="L47" s="62"/>
    </row>
    <row r="48" spans="1:12" x14ac:dyDescent="0.25">
      <c r="A48" s="245" t="s">
        <v>135</v>
      </c>
      <c r="B48" s="34">
        <v>15.989698991341477</v>
      </c>
      <c r="C48" s="36">
        <v>1105.0586945022844</v>
      </c>
      <c r="D48" s="34">
        <v>14739.211530576264</v>
      </c>
      <c r="E48" s="34"/>
      <c r="F48" s="61">
        <f>IF(D48&lt;&gt;0,C48/D48,0)</f>
        <v>7.4974071184870206E-2</v>
      </c>
      <c r="G48" s="118"/>
      <c r="H48" s="39">
        <v>1.305475124586952</v>
      </c>
      <c r="I48" s="39"/>
      <c r="J48" s="36">
        <f>C48*H48</f>
        <v>1442.6266368812644</v>
      </c>
      <c r="K48" s="61">
        <f>F48*(H48)</f>
        <v>9.7876784920859439E-2</v>
      </c>
      <c r="L48" s="62"/>
    </row>
    <row r="49" spans="1:12" x14ac:dyDescent="0.25">
      <c r="A49" s="246" t="s">
        <v>136</v>
      </c>
      <c r="B49" s="34">
        <v>3.2861213746919669</v>
      </c>
      <c r="C49" s="36">
        <v>126.55123130227535</v>
      </c>
      <c r="D49" s="34">
        <v>7125.882776393044</v>
      </c>
      <c r="E49" s="34"/>
      <c r="F49" s="61">
        <f>IF(D49&lt;&gt;0,C49/D49,0)</f>
        <v>1.7759375964128986E-2</v>
      </c>
      <c r="G49" s="118"/>
      <c r="H49" s="39">
        <v>1.2169031925034866</v>
      </c>
      <c r="I49" s="39"/>
      <c r="J49" s="36">
        <f>C49*H49</f>
        <v>154.00059738698604</v>
      </c>
      <c r="K49" s="61">
        <f>F49*(H49)</f>
        <v>2.1611441307618249E-2</v>
      </c>
      <c r="L49" s="62"/>
    </row>
    <row r="50" spans="1:12" x14ac:dyDescent="0.25">
      <c r="A50" s="245" t="s">
        <v>137</v>
      </c>
      <c r="B50" s="24">
        <v>1.136399434382908</v>
      </c>
      <c r="C50" s="36">
        <v>50.426178800164649</v>
      </c>
      <c r="D50" s="24">
        <v>2464.2574735484432</v>
      </c>
      <c r="E50" s="34"/>
      <c r="F50" s="61">
        <f>IF(D50&lt;&gt;0,C50/D50,0)</f>
        <v>2.0463031700803873E-2</v>
      </c>
      <c r="G50" s="118"/>
      <c r="H50" s="39">
        <v>1.5638897968218963</v>
      </c>
      <c r="I50" s="39"/>
      <c r="J50" s="36">
        <f>C50*H50</f>
        <v>78.860986518294112</v>
      </c>
      <c r="K50" s="61">
        <f>F50*(H50)</f>
        <v>3.2001926488930195E-2</v>
      </c>
      <c r="L50" s="62"/>
    </row>
    <row r="51" spans="1:12" x14ac:dyDescent="0.25">
      <c r="A51" s="245" t="s">
        <v>107</v>
      </c>
      <c r="B51" s="24">
        <v>6.8196657483413289E-2</v>
      </c>
      <c r="C51" s="36">
        <v>2.9941742468092607</v>
      </c>
      <c r="D51" s="24">
        <v>147.88296948227705</v>
      </c>
      <c r="E51" s="34"/>
      <c r="F51" s="61">
        <f>IF(D51&lt;&gt;0,C51/D51,0)</f>
        <v>2.0246917256879236E-2</v>
      </c>
      <c r="G51" s="118"/>
      <c r="H51" s="39">
        <v>1.2169031925034866</v>
      </c>
      <c r="I51" s="39"/>
      <c r="J51" s="36">
        <f>C51*H51</f>
        <v>3.6436201998539115</v>
      </c>
      <c r="K51" s="61">
        <f>F51*(H51)</f>
        <v>2.4638538248250276E-2</v>
      </c>
      <c r="L51" s="62"/>
    </row>
    <row r="52" spans="1:12" x14ac:dyDescent="0.25">
      <c r="A52" s="245" t="s">
        <v>277</v>
      </c>
      <c r="B52" s="24">
        <f>SUM(B48:B51)</f>
        <v>20.480416457899764</v>
      </c>
      <c r="C52" s="36">
        <f>SUM(C48:C51)</f>
        <v>1285.0302788515337</v>
      </c>
      <c r="D52" s="24">
        <f>SUM(D48:D51)</f>
        <v>24477.234750000032</v>
      </c>
      <c r="E52" s="34"/>
      <c r="F52" s="31"/>
      <c r="G52" s="118"/>
      <c r="H52" s="39"/>
      <c r="I52" s="39"/>
      <c r="J52" s="36">
        <f>SUM(J48:J51)</f>
        <v>1679.1318409863986</v>
      </c>
      <c r="K52" s="61">
        <f>SUMPRODUCT(K48:K51,D48:D51)/D52</f>
        <v>6.8599735964308489E-2</v>
      </c>
      <c r="L52" s="62"/>
    </row>
    <row r="53" spans="1:12" x14ac:dyDescent="0.25">
      <c r="A53" s="18"/>
      <c r="B53" s="34"/>
      <c r="C53" s="34"/>
      <c r="D53" s="34"/>
      <c r="E53" s="34"/>
      <c r="F53" s="61"/>
      <c r="G53" s="118"/>
      <c r="H53" s="39"/>
      <c r="I53" s="39"/>
      <c r="J53" s="36"/>
      <c r="K53" s="61"/>
      <c r="L53" s="62"/>
    </row>
    <row r="54" spans="1:12" ht="5.15" customHeight="1" x14ac:dyDescent="0.25">
      <c r="B54" s="42"/>
      <c r="C54" s="42"/>
      <c r="D54" s="42"/>
      <c r="E54" s="30"/>
      <c r="F54" s="31"/>
      <c r="G54" s="118"/>
      <c r="H54" s="39"/>
      <c r="I54" s="39"/>
      <c r="J54" s="32"/>
      <c r="K54" s="31"/>
    </row>
    <row r="55" spans="1:12" x14ac:dyDescent="0.25">
      <c r="A55" s="66" t="s">
        <v>387</v>
      </c>
      <c r="B55" s="42"/>
      <c r="C55" s="42"/>
      <c r="D55" s="42"/>
      <c r="E55" s="30"/>
      <c r="F55" s="31"/>
      <c r="G55" s="118"/>
      <c r="H55" s="39"/>
      <c r="I55" s="39"/>
      <c r="J55" s="32"/>
      <c r="K55" s="31"/>
    </row>
    <row r="56" spans="1:12" x14ac:dyDescent="0.25">
      <c r="A56" s="245" t="s">
        <v>135</v>
      </c>
      <c r="B56" s="34">
        <v>7.3280683009853904</v>
      </c>
      <c r="C56" s="36">
        <v>506.44765697563025</v>
      </c>
      <c r="D56" s="34">
        <v>6754.9707381747658</v>
      </c>
      <c r="E56" s="34"/>
      <c r="F56" s="61">
        <f>IF(D56&lt;&gt;0,C56/D56,0)</f>
        <v>7.497407118487022E-2</v>
      </c>
      <c r="G56" s="118"/>
      <c r="H56" s="39">
        <v>1.305475124586952</v>
      </c>
      <c r="I56" s="39"/>
      <c r="J56" s="36">
        <f>C56*H56</f>
        <v>661.15481808703089</v>
      </c>
      <c r="K56" s="61">
        <f>F56*(H56)</f>
        <v>9.7876784920859466E-2</v>
      </c>
    </row>
    <row r="57" spans="1:12" x14ac:dyDescent="0.25">
      <c r="A57" s="246" t="s">
        <v>136</v>
      </c>
      <c r="B57" s="34">
        <v>1.4587773801636306</v>
      </c>
      <c r="C57" s="36">
        <v>56.178714236603561</v>
      </c>
      <c r="D57" s="34">
        <v>3163.3270420129238</v>
      </c>
      <c r="E57" s="34"/>
      <c r="F57" s="61">
        <f>IF(D57&lt;&gt;0,C57/D57,0)</f>
        <v>1.7759375964128986E-2</v>
      </c>
      <c r="G57" s="118"/>
      <c r="H57" s="39">
        <v>1.2169031925034866</v>
      </c>
      <c r="I57" s="39"/>
      <c r="J57" s="36">
        <f>C57*H57</f>
        <v>68.364056705263948</v>
      </c>
      <c r="K57" s="61">
        <f>F57*(H57)</f>
        <v>2.1611441307618249E-2</v>
      </c>
    </row>
    <row r="58" spans="1:12" x14ac:dyDescent="0.25">
      <c r="A58" s="245" t="s">
        <v>137</v>
      </c>
      <c r="B58" s="24">
        <v>0.4495384482596993</v>
      </c>
      <c r="C58" s="36">
        <v>19.947657032935521</v>
      </c>
      <c r="D58" s="24">
        <v>974.81435422649952</v>
      </c>
      <c r="E58" s="34"/>
      <c r="F58" s="61">
        <f>IF(D58&lt;&gt;0,C58/D58,0)</f>
        <v>2.046303170080388E-2</v>
      </c>
      <c r="G58" s="118"/>
      <c r="H58" s="39">
        <v>1.5638897968218963</v>
      </c>
      <c r="I58" s="39"/>
      <c r="J58" s="36">
        <f>C58*H58</f>
        <v>31.195937304310402</v>
      </c>
      <c r="K58" s="61">
        <f>F58*(H58)</f>
        <v>3.2001926488930202E-2</v>
      </c>
    </row>
    <row r="59" spans="1:12" x14ac:dyDescent="0.25">
      <c r="A59" s="245" t="s">
        <v>107</v>
      </c>
      <c r="B59" s="24">
        <v>2.34411358294591E-2</v>
      </c>
      <c r="C59" s="36">
        <v>1.0291830685924019</v>
      </c>
      <c r="D59" s="24">
        <v>50.831593547542134</v>
      </c>
      <c r="E59" s="34"/>
      <c r="F59" s="61">
        <f>IF(D59&lt;&gt;0,C59/D59,0)</f>
        <v>2.0246917256879233E-2</v>
      </c>
      <c r="G59" s="118"/>
      <c r="H59" s="39">
        <v>1.2169031925034866</v>
      </c>
      <c r="I59" s="39"/>
      <c r="J59" s="36">
        <f>C59*H59</f>
        <v>1.2524161618406287</v>
      </c>
      <c r="K59" s="61">
        <f>F59*(H59)</f>
        <v>2.4638538248250273E-2</v>
      </c>
    </row>
    <row r="60" spans="1:12" x14ac:dyDescent="0.25">
      <c r="A60" s="245" t="s">
        <v>277</v>
      </c>
      <c r="B60" s="24">
        <f>SUM(B56:B59)</f>
        <v>9.2598252652381809</v>
      </c>
      <c r="C60" s="36">
        <f>SUM(C56:C59)</f>
        <v>583.60321131376168</v>
      </c>
      <c r="D60" s="24">
        <f>SUM(D56:D59)</f>
        <v>10943.94372796173</v>
      </c>
      <c r="E60" s="34"/>
      <c r="F60" s="31"/>
      <c r="G60" s="118"/>
      <c r="H60" s="39"/>
      <c r="I60" s="39"/>
      <c r="J60" s="36">
        <f>SUM(J56:J59)</f>
        <v>761.96722825844586</v>
      </c>
      <c r="K60" s="61">
        <f>SUMPRODUCT(K56:K59,D56:D59)/D60</f>
        <v>6.9624556485211334E-2</v>
      </c>
    </row>
    <row r="61" spans="1:12" ht="5.15" customHeight="1" x14ac:dyDescent="0.25">
      <c r="B61" s="34"/>
      <c r="C61" s="34"/>
      <c r="D61" s="34"/>
      <c r="E61" s="34"/>
      <c r="F61" s="31"/>
      <c r="G61" s="118"/>
      <c r="H61" s="39"/>
      <c r="I61" s="39"/>
      <c r="J61" s="32"/>
      <c r="K61" s="31"/>
    </row>
    <row r="62" spans="1:12" x14ac:dyDescent="0.25">
      <c r="A62" s="66" t="s">
        <v>388</v>
      </c>
      <c r="B62" s="4"/>
      <c r="C62" s="4"/>
      <c r="D62" s="4"/>
      <c r="E62" s="4"/>
      <c r="F62" s="4"/>
      <c r="G62" s="4"/>
      <c r="I62" s="4"/>
      <c r="J62" s="4"/>
      <c r="K62" s="4"/>
    </row>
    <row r="63" spans="1:12" x14ac:dyDescent="0.25">
      <c r="A63" s="245" t="s">
        <v>135</v>
      </c>
      <c r="B63" s="34">
        <v>3.2855502315127492</v>
      </c>
      <c r="C63" s="36">
        <v>227.06655400600215</v>
      </c>
      <c r="D63" s="34">
        <v>3028.6010939182429</v>
      </c>
      <c r="E63" s="4"/>
      <c r="F63" s="61">
        <f>IF(D63&lt;&gt;0,C63/D63,0)</f>
        <v>7.497407118487022E-2</v>
      </c>
      <c r="G63" s="4"/>
      <c r="H63" s="39">
        <v>1.305475124586952</v>
      </c>
      <c r="I63" s="4"/>
      <c r="J63" s="36">
        <f>C63*H63</f>
        <v>296.42973788051552</v>
      </c>
      <c r="K63" s="61">
        <f>F63*(H63)</f>
        <v>9.7876784920859466E-2</v>
      </c>
    </row>
    <row r="64" spans="1:12" x14ac:dyDescent="0.25">
      <c r="A64" s="246" t="s">
        <v>136</v>
      </c>
      <c r="B64" s="34">
        <v>0.82654654220521273</v>
      </c>
      <c r="C64" s="36">
        <v>31.830985748209848</v>
      </c>
      <c r="D64" s="34">
        <v>1792.3482115871188</v>
      </c>
      <c r="E64" s="4"/>
      <c r="F64" s="61">
        <f>IF(D64&lt;&gt;0,C64/D64,0)</f>
        <v>1.7759375964128982E-2</v>
      </c>
      <c r="G64" s="4"/>
      <c r="H64" s="39">
        <v>1.2169031925034866</v>
      </c>
      <c r="I64" s="4"/>
      <c r="J64" s="36">
        <f>C64*H64</f>
        <v>38.735228177529542</v>
      </c>
      <c r="K64" s="61">
        <f>F64*(H64)</f>
        <v>2.1611441307618242E-2</v>
      </c>
    </row>
    <row r="65" spans="1:13" x14ac:dyDescent="0.25">
      <c r="A65" s="245" t="s">
        <v>137</v>
      </c>
      <c r="B65" s="24">
        <v>0.45489498688417884</v>
      </c>
      <c r="C65" s="36">
        <v>20.185346146688616</v>
      </c>
      <c r="D65" s="24">
        <v>986.4298918080475</v>
      </c>
      <c r="E65" s="4"/>
      <c r="F65" s="61">
        <f>IF(D65&lt;&gt;0,C65/D65,0)</f>
        <v>2.046303170080388E-2</v>
      </c>
      <c r="G65" s="4"/>
      <c r="H65" s="39">
        <v>1.5638897968218963</v>
      </c>
      <c r="I65" s="4"/>
      <c r="J65" s="36">
        <f>C65*H65</f>
        <v>31.567656884124506</v>
      </c>
      <c r="K65" s="61">
        <f>F65*(H65)</f>
        <v>3.2001926488930202E-2</v>
      </c>
    </row>
    <row r="66" spans="1:13" x14ac:dyDescent="0.25">
      <c r="A66" s="245" t="s">
        <v>107</v>
      </c>
      <c r="B66" s="24">
        <v>3.7150029173770457E-2</v>
      </c>
      <c r="C66" s="36">
        <v>1.6310720308743918</v>
      </c>
      <c r="D66" s="24">
        <v>80.559030798637139</v>
      </c>
      <c r="E66" s="4"/>
      <c r="F66" s="61">
        <f>IF(D66&lt;&gt;0,C66/D66,0)</f>
        <v>2.0246917256879233E-2</v>
      </c>
      <c r="G66" s="4"/>
      <c r="H66" s="39">
        <v>1.2169031925034866</v>
      </c>
      <c r="I66" s="4"/>
      <c r="J66" s="36">
        <f>C66*H66</f>
        <v>1.9848567615741928</v>
      </c>
      <c r="K66" s="61">
        <f>F66*(H66)</f>
        <v>2.4638538248250273E-2</v>
      </c>
    </row>
    <row r="67" spans="1:13" x14ac:dyDescent="0.25">
      <c r="A67" s="245" t="s">
        <v>277</v>
      </c>
      <c r="B67" s="24">
        <f>SUM(B63:B66)</f>
        <v>4.6041417897759116</v>
      </c>
      <c r="C67" s="36">
        <f>SUM(C63:C66)</f>
        <v>280.71395793177504</v>
      </c>
      <c r="D67" s="24">
        <f>SUM(D63:D66)</f>
        <v>5887.9382281120461</v>
      </c>
      <c r="E67" s="4"/>
      <c r="F67" s="4"/>
      <c r="G67" s="4"/>
      <c r="I67" s="4"/>
      <c r="J67" s="36">
        <f>SUM(J63:J66)</f>
        <v>368.71747970374378</v>
      </c>
      <c r="K67" s="61">
        <f>SUMPRODUCT(K63:K66,D63:D66)/D67</f>
        <v>6.2622511551377505E-2</v>
      </c>
    </row>
    <row r="68" spans="1:13" ht="5.15" customHeight="1" x14ac:dyDescent="0.25">
      <c r="A68" s="18"/>
      <c r="B68" s="34"/>
      <c r="C68" s="36"/>
      <c r="D68" s="34"/>
      <c r="E68" s="34"/>
      <c r="F68" s="31"/>
      <c r="G68" s="118"/>
      <c r="H68" s="39"/>
      <c r="I68" s="39"/>
      <c r="J68" s="32"/>
      <c r="K68" s="31"/>
    </row>
    <row r="69" spans="1:13" ht="12.75" customHeight="1" x14ac:dyDescent="0.25">
      <c r="A69" s="66" t="s">
        <v>389</v>
      </c>
      <c r="B69" s="34"/>
      <c r="C69" s="36"/>
      <c r="D69" s="34"/>
      <c r="E69" s="34"/>
      <c r="F69" s="61"/>
      <c r="G69" s="118"/>
      <c r="H69" s="39"/>
      <c r="I69" s="39"/>
      <c r="J69" s="36"/>
      <c r="K69" s="61"/>
    </row>
    <row r="70" spans="1:13" ht="12.75" customHeight="1" x14ac:dyDescent="0.25">
      <c r="A70" s="245" t="s">
        <v>135</v>
      </c>
      <c r="B70" s="34">
        <f t="shared" ref="B70:D73" si="1">SUM(B48,B56,B63)</f>
        <v>26.603317523839614</v>
      </c>
      <c r="C70" s="36">
        <f t="shared" si="1"/>
        <v>1838.5729054839169</v>
      </c>
      <c r="D70" s="34">
        <f t="shared" si="1"/>
        <v>24522.78336266927</v>
      </c>
      <c r="E70" s="34"/>
      <c r="F70" s="61">
        <f>IF(D70&lt;&gt;0,C70/D70,0)</f>
        <v>7.497407118487022E-2</v>
      </c>
      <c r="G70" s="118"/>
      <c r="H70" s="39">
        <v>1.305475124586952</v>
      </c>
      <c r="I70" s="39"/>
      <c r="J70" s="36">
        <f>C70*H70</f>
        <v>2400.2111928488107</v>
      </c>
      <c r="K70" s="61">
        <f>F70*(H70)</f>
        <v>9.7876784920859466E-2</v>
      </c>
    </row>
    <row r="71" spans="1:13" ht="12.75" customHeight="1" x14ac:dyDescent="0.25">
      <c r="A71" s="246" t="s">
        <v>136</v>
      </c>
      <c r="B71" s="34">
        <f t="shared" si="1"/>
        <v>5.5714452970608104</v>
      </c>
      <c r="C71" s="36">
        <f t="shared" si="1"/>
        <v>214.56093128708878</v>
      </c>
      <c r="D71" s="34">
        <f t="shared" si="1"/>
        <v>12081.558029993088</v>
      </c>
      <c r="E71" s="34"/>
      <c r="F71" s="61">
        <f>IF(D71&lt;&gt;0,C71/D71,0)</f>
        <v>1.7759375964128986E-2</v>
      </c>
      <c r="G71" s="118"/>
      <c r="H71" s="39">
        <v>1.2169031925034866</v>
      </c>
      <c r="I71" s="39"/>
      <c r="J71" s="36">
        <f>C71*H71</f>
        <v>261.09988226977953</v>
      </c>
      <c r="K71" s="61">
        <f>F71*(H71)</f>
        <v>2.1611441307618249E-2</v>
      </c>
    </row>
    <row r="72" spans="1:13" ht="12.75" customHeight="1" x14ac:dyDescent="0.25">
      <c r="A72" s="245" t="s">
        <v>137</v>
      </c>
      <c r="B72" s="34">
        <f t="shared" si="1"/>
        <v>2.0408328695267861</v>
      </c>
      <c r="C72" s="36">
        <f t="shared" si="1"/>
        <v>90.559181979788789</v>
      </c>
      <c r="D72" s="34">
        <f t="shared" si="1"/>
        <v>4425.5017195829905</v>
      </c>
      <c r="E72" s="34"/>
      <c r="F72" s="61">
        <f>IF(D72&lt;&gt;0,C72/D72,0)</f>
        <v>2.0463031700803873E-2</v>
      </c>
      <c r="G72" s="118"/>
      <c r="H72" s="39">
        <v>1.5638897968218963</v>
      </c>
      <c r="I72" s="39"/>
      <c r="J72" s="36">
        <f>C72*H72</f>
        <v>141.62458070672903</v>
      </c>
      <c r="K72" s="61">
        <f>F72*(H72)</f>
        <v>3.2001926488930195E-2</v>
      </c>
    </row>
    <row r="73" spans="1:13" ht="12.75" customHeight="1" x14ac:dyDescent="0.25">
      <c r="A73" s="245" t="s">
        <v>107</v>
      </c>
      <c r="B73" s="34">
        <f t="shared" si="1"/>
        <v>0.12878782248664283</v>
      </c>
      <c r="C73" s="36">
        <f t="shared" si="1"/>
        <v>5.6544293462760544</v>
      </c>
      <c r="D73" s="34">
        <f t="shared" si="1"/>
        <v>279.27359382845634</v>
      </c>
      <c r="E73" s="34"/>
      <c r="F73" s="61">
        <f>IF(D73&lt;&gt;0,C73/D73,0)</f>
        <v>2.0246917256879233E-2</v>
      </c>
      <c r="G73" s="118"/>
      <c r="H73" s="39">
        <v>1.2169031925034866</v>
      </c>
      <c r="I73" s="39"/>
      <c r="J73" s="36">
        <f>C73*H73</f>
        <v>6.8808931232687334</v>
      </c>
      <c r="K73" s="61">
        <f>F73*(H73)</f>
        <v>2.4638538248250273E-2</v>
      </c>
    </row>
    <row r="74" spans="1:13" ht="12.75" customHeight="1" x14ac:dyDescent="0.25">
      <c r="A74" s="245" t="s">
        <v>102</v>
      </c>
      <c r="B74" s="34">
        <f>SUM(B70:B73)</f>
        <v>34.344383512913858</v>
      </c>
      <c r="C74" s="36">
        <f>SUM(C70:C73)</f>
        <v>2149.3474480970704</v>
      </c>
      <c r="D74" s="34">
        <f>SUM(D70:D73)</f>
        <v>41309.116706073808</v>
      </c>
      <c r="E74" s="34"/>
      <c r="F74" s="31"/>
      <c r="G74" s="118"/>
      <c r="H74" s="39"/>
      <c r="I74" s="39"/>
      <c r="J74" s="36">
        <f>SUM(J70:J73)</f>
        <v>2809.8165489485882</v>
      </c>
      <c r="K74" s="61">
        <f>SUMPRODUCT(K70:K73,D70:D73)/D74</f>
        <v>6.8019284191943336E-2</v>
      </c>
    </row>
    <row r="75" spans="1:13" ht="5.15" customHeight="1" x14ac:dyDescent="0.25">
      <c r="A75" s="18"/>
      <c r="B75" s="34"/>
      <c r="C75" s="36"/>
      <c r="D75" s="34"/>
      <c r="E75" s="34"/>
      <c r="F75" s="31"/>
      <c r="G75" s="118"/>
      <c r="H75" s="39"/>
      <c r="I75" s="39"/>
      <c r="J75" s="32"/>
      <c r="K75" s="31"/>
    </row>
    <row r="76" spans="1:13" x14ac:dyDescent="0.25">
      <c r="A76" s="59"/>
      <c r="B76" s="34"/>
      <c r="C76" s="36"/>
      <c r="D76" s="34"/>
      <c r="E76" s="34"/>
      <c r="F76" s="61"/>
      <c r="G76" s="118"/>
      <c r="H76" s="39"/>
      <c r="I76" s="39"/>
      <c r="J76" s="36"/>
      <c r="K76" s="61"/>
      <c r="L76" s="62"/>
    </row>
    <row r="77" spans="1:13" ht="13" x14ac:dyDescent="0.3">
      <c r="A77" s="14" t="s">
        <v>285</v>
      </c>
      <c r="B77" s="20"/>
      <c r="C77" s="32"/>
      <c r="D77" s="30"/>
      <c r="E77" s="30"/>
      <c r="F77" s="31"/>
      <c r="G77" s="118"/>
      <c r="H77" s="39"/>
      <c r="I77" s="39"/>
      <c r="J77" s="32"/>
      <c r="K77" s="31"/>
    </row>
    <row r="78" spans="1:13" x14ac:dyDescent="0.25">
      <c r="A78" s="245" t="s">
        <v>135</v>
      </c>
      <c r="B78" s="34">
        <v>277.97210229043498</v>
      </c>
      <c r="C78" s="36">
        <v>19210.836215957599</v>
      </c>
      <c r="D78" s="34">
        <v>724430.87043843628</v>
      </c>
      <c r="E78" s="34"/>
      <c r="F78" s="61">
        <f>IF(D78&lt;&gt;0,C78/D78,0)</f>
        <v>2.6518522332339201E-2</v>
      </c>
      <c r="G78" s="118"/>
      <c r="H78" s="39">
        <v>1.305475124586952</v>
      </c>
      <c r="I78" s="39"/>
      <c r="J78" s="36">
        <f>C78*H78</f>
        <v>25079.268802446775</v>
      </c>
      <c r="K78" s="61">
        <f>F78*(H78)</f>
        <v>3.4619271245672385E-2</v>
      </c>
      <c r="M78" s="48"/>
    </row>
    <row r="79" spans="1:13" x14ac:dyDescent="0.25">
      <c r="A79" s="246" t="s">
        <v>136</v>
      </c>
      <c r="B79" s="34">
        <v>90.00248936823786</v>
      </c>
      <c r="C79" s="36">
        <v>3466.069737271378</v>
      </c>
      <c r="D79" s="34">
        <v>280036.48712056421</v>
      </c>
      <c r="E79" s="34"/>
      <c r="F79" s="61">
        <f>IF(D79&lt;&gt;0,C79/D79,0)</f>
        <v>1.2377207602161964E-2</v>
      </c>
      <c r="G79" s="118"/>
      <c r="H79" s="39">
        <v>1.2169031925034866</v>
      </c>
      <c r="I79" s="39"/>
      <c r="J79" s="36">
        <f>C79*H79</f>
        <v>4217.8713287252604</v>
      </c>
      <c r="K79" s="61">
        <f>F79*(H79)</f>
        <v>1.5061863445349318E-2</v>
      </c>
      <c r="M79" s="48"/>
    </row>
    <row r="80" spans="1:13" x14ac:dyDescent="0.25">
      <c r="A80" s="245" t="s">
        <v>137</v>
      </c>
      <c r="B80" s="34">
        <v>41.547546212427427</v>
      </c>
      <c r="C80" s="36">
        <v>2002.467084800365</v>
      </c>
      <c r="D80" s="34">
        <v>129272.30092719462</v>
      </c>
      <c r="E80" s="34"/>
      <c r="F80" s="61">
        <f>IF(D80&lt;&gt;0,C80/D80,0)</f>
        <v>1.5490302798339935E-2</v>
      </c>
      <c r="G80" s="118"/>
      <c r="H80" s="39">
        <v>1.5638897968218963</v>
      </c>
      <c r="I80" s="39"/>
      <c r="J80" s="36">
        <f>C80*H80</f>
        <v>3131.6378423909778</v>
      </c>
      <c r="K80" s="61">
        <f>F80*(H80)</f>
        <v>2.4225126496005493E-2</v>
      </c>
      <c r="M80" s="48"/>
    </row>
    <row r="81" spans="1:14" x14ac:dyDescent="0.25">
      <c r="A81" s="245" t="s">
        <v>107</v>
      </c>
      <c r="B81" s="34">
        <v>1.5860616855186547</v>
      </c>
      <c r="C81" s="36">
        <v>69.636038302696548</v>
      </c>
      <c r="D81" s="34">
        <v>4934.9206437162029</v>
      </c>
      <c r="E81" s="34"/>
      <c r="F81" s="61">
        <f>IF(D81&lt;&gt;0,C81/D81,0)</f>
        <v>1.4110872966390332E-2</v>
      </c>
      <c r="G81" s="118"/>
      <c r="H81" s="39">
        <v>1.2169031925034866</v>
      </c>
      <c r="I81" s="39"/>
      <c r="J81" s="36">
        <f>C81*H81</f>
        <v>84.740317323846497</v>
      </c>
      <c r="K81" s="61">
        <f>F81*(H81)</f>
        <v>1.7171566361811538E-2</v>
      </c>
      <c r="M81" s="48"/>
    </row>
    <row r="82" spans="1:14" x14ac:dyDescent="0.25">
      <c r="A82" s="245" t="s">
        <v>102</v>
      </c>
      <c r="B82" s="34">
        <f>SUM(B78:B81)</f>
        <v>411.1081995566189</v>
      </c>
      <c r="C82" s="36">
        <f>SUM(C78:C81)</f>
        <v>24749.009076332037</v>
      </c>
      <c r="D82" s="34">
        <f>SUM(D78:D81)</f>
        <v>1138674.5791299113</v>
      </c>
      <c r="E82" s="34"/>
      <c r="F82" s="61">
        <f>IF(D82&lt;&gt;0,C82/D82,0)</f>
        <v>2.1734927195128349E-2</v>
      </c>
      <c r="G82" s="118"/>
      <c r="H82" s="39"/>
      <c r="I82" s="39"/>
      <c r="J82" s="36">
        <f>SUM(J78:J81)</f>
        <v>32513.518290886859</v>
      </c>
      <c r="K82" s="61">
        <f>SUMPRODUCT(K78:K81,D78:D81)/D82</f>
        <v>2.8553828184810469E-2</v>
      </c>
      <c r="M82" s="48"/>
    </row>
    <row r="83" spans="1:14" ht="5.15" customHeight="1" x14ac:dyDescent="0.25">
      <c r="B83" s="42"/>
      <c r="C83" s="36"/>
      <c r="D83" s="34"/>
      <c r="E83" s="34"/>
      <c r="F83" s="35"/>
      <c r="G83" s="20"/>
      <c r="H83" s="40"/>
      <c r="I83" s="40"/>
      <c r="J83" s="36"/>
      <c r="K83" s="31"/>
    </row>
    <row r="84" spans="1:14" ht="12.75" customHeight="1" x14ac:dyDescent="0.25"/>
    <row r="85" spans="1:14" ht="15.5" x14ac:dyDescent="0.35">
      <c r="A85" s="117" t="s">
        <v>59</v>
      </c>
    </row>
    <row r="86" spans="1:14" ht="15.5" x14ac:dyDescent="0.35">
      <c r="A86" s="117" t="s">
        <v>787</v>
      </c>
    </row>
    <row r="87" spans="1:14" ht="25" x14ac:dyDescent="0.25">
      <c r="B87" s="138" t="s">
        <v>223</v>
      </c>
      <c r="C87" s="107" t="s">
        <v>217</v>
      </c>
      <c r="D87" s="125" t="s">
        <v>222</v>
      </c>
      <c r="E87" s="125"/>
      <c r="F87" s="126" t="s">
        <v>207</v>
      </c>
      <c r="G87" s="118"/>
      <c r="H87" s="119" t="s">
        <v>246</v>
      </c>
      <c r="I87" s="118"/>
      <c r="J87" s="138" t="s">
        <v>110</v>
      </c>
      <c r="K87" s="31" t="s">
        <v>133</v>
      </c>
    </row>
    <row r="88" spans="1:14" x14ac:dyDescent="0.25">
      <c r="A88" s="17" t="s">
        <v>390</v>
      </c>
      <c r="B88" s="42"/>
      <c r="C88" s="36"/>
      <c r="D88" s="34"/>
      <c r="E88" s="34"/>
      <c r="F88" s="35"/>
      <c r="G88" s="20"/>
      <c r="H88" s="40"/>
      <c r="I88" s="40"/>
      <c r="J88" s="36"/>
      <c r="K88" s="31"/>
      <c r="N88" s="48"/>
    </row>
    <row r="89" spans="1:14" x14ac:dyDescent="0.25">
      <c r="A89" s="18" t="s">
        <v>186</v>
      </c>
      <c r="B89" s="42"/>
      <c r="C89" s="36"/>
      <c r="D89" s="34"/>
      <c r="E89" s="34"/>
      <c r="F89" s="35"/>
      <c r="G89" s="20"/>
      <c r="H89" s="40"/>
      <c r="I89" s="40"/>
      <c r="J89" s="36"/>
      <c r="K89" s="31"/>
      <c r="N89" s="48"/>
    </row>
    <row r="90" spans="1:14" x14ac:dyDescent="0.25">
      <c r="A90" s="59" t="s">
        <v>138</v>
      </c>
      <c r="B90" s="41" t="s">
        <v>106</v>
      </c>
      <c r="C90" s="36">
        <f>'Table 3.14-Route UAA'!C90*SUM($D$103,$D$109)/SUM($D$103,$D$109,'Table 3.15-Route UAA NoPARS'!$D$103,'Table 3.15-Route UAA NoPARS'!$D$109)</f>
        <v>651.05755837513721</v>
      </c>
      <c r="D90" s="30">
        <f>'Table 3.14-Route UAA'!D90*SUM($D$103,$D$109)/SUM($D$103,$D$109,'Table 3.15-Route UAA NoPARS'!$D$103,'Table 3.15-Route UAA NoPARS'!$D$109)</f>
        <v>10840.078840445069</v>
      </c>
      <c r="E90" s="24" t="s">
        <v>239</v>
      </c>
      <c r="F90" s="61">
        <f>IF(D90&lt;&gt;0,C90/D90,0)</f>
        <v>6.0060223542470682E-2</v>
      </c>
      <c r="G90" s="205" t="s">
        <v>240</v>
      </c>
      <c r="H90" s="39">
        <v>1.3146614554631439</v>
      </c>
      <c r="I90" s="39"/>
      <c r="J90" s="36">
        <f>C90*H90</f>
        <v>855.92027728373864</v>
      </c>
      <c r="K90" s="61">
        <f>F90*(H90)</f>
        <v>7.8958860897786295E-2</v>
      </c>
    </row>
    <row r="91" spans="1:14" x14ac:dyDescent="0.25">
      <c r="A91" s="59" t="s">
        <v>781</v>
      </c>
      <c r="B91" s="41" t="s">
        <v>106</v>
      </c>
      <c r="C91" s="36">
        <f>'Table 3.14-Route UAA'!C91*SUM($D$103,$D$109)/SUM($D$103,$D$109,'Table 3.15-Route UAA NoPARS'!$D$103,'Table 3.15-Route UAA NoPARS'!$D$109)</f>
        <v>2797.8901578308223</v>
      </c>
      <c r="D91" s="30">
        <f>'Table 3.14-Route UAA'!D91*SUM($D$103,$D$109)/SUM($D$103,$D$109,'Table 3.15-Route UAA NoPARS'!$D$103,'Table 3.15-Route UAA NoPARS'!$D$109)</f>
        <v>10840.078840445069</v>
      </c>
      <c r="E91" s="24" t="s">
        <v>239</v>
      </c>
      <c r="F91" s="61">
        <f>IF(D91&lt;&gt;0,C91/D91,0)</f>
        <v>0.25810607090713256</v>
      </c>
      <c r="G91" s="205" t="s">
        <v>240</v>
      </c>
      <c r="H91" s="248">
        <v>1.7351466784479892</v>
      </c>
      <c r="I91" s="39"/>
      <c r="J91" s="36">
        <f>C91*H91</f>
        <v>4854.7498140224716</v>
      </c>
      <c r="K91" s="61">
        <f>F91*(H91)</f>
        <v>0.44785189162177225</v>
      </c>
      <c r="L91" s="28"/>
      <c r="M91" s="334"/>
    </row>
    <row r="92" spans="1:14" x14ac:dyDescent="0.25">
      <c r="A92" s="18" t="s">
        <v>187</v>
      </c>
      <c r="B92" s="41"/>
      <c r="C92" s="36"/>
      <c r="D92" s="30"/>
      <c r="E92" s="30"/>
      <c r="F92" s="31"/>
      <c r="G92" s="118"/>
      <c r="H92" s="39"/>
      <c r="I92" s="39"/>
      <c r="J92" s="32"/>
      <c r="K92" s="31"/>
    </row>
    <row r="93" spans="1:14" x14ac:dyDescent="0.25">
      <c r="A93" s="59" t="s">
        <v>138</v>
      </c>
      <c r="B93" s="41" t="s">
        <v>106</v>
      </c>
      <c r="C93" s="36">
        <f>'Table 3.14-Route UAA'!C93*$D$111/SUM($D$111,'Table 3.15-Route UAA NoPARS'!$D$111)</f>
        <v>135.48737954539905</v>
      </c>
      <c r="D93" s="30">
        <f>'Table 3.14-Route UAA'!D93*$D$111/SUM($D$111,'Table 3.15-Route UAA NoPARS'!$D$111)</f>
        <v>2468.2545278381299</v>
      </c>
      <c r="E93" s="24" t="s">
        <v>239</v>
      </c>
      <c r="F93" s="61">
        <f>IF(D93&lt;&gt;0,C93/D93,0)</f>
        <v>5.4891980554399464E-2</v>
      </c>
      <c r="G93" s="205" t="s">
        <v>240</v>
      </c>
      <c r="H93" s="39">
        <v>1.3146614554631439</v>
      </c>
      <c r="I93" s="39"/>
      <c r="J93" s="36">
        <f>C93*H93</f>
        <v>178.12003559004171</v>
      </c>
      <c r="K93" s="61">
        <f>F93*(H93)</f>
        <v>7.2164371048901388E-2</v>
      </c>
    </row>
    <row r="94" spans="1:14" x14ac:dyDescent="0.25">
      <c r="A94" s="59" t="s">
        <v>781</v>
      </c>
      <c r="B94" s="41" t="s">
        <v>106</v>
      </c>
      <c r="C94" s="36">
        <f>'Table 3.14-Route UAA'!C94*$D$111/SUM($D$111,'Table 3.15-Route UAA NoPARS'!$D$111)</f>
        <v>290.94935583446926</v>
      </c>
      <c r="D94" s="30">
        <f>'Table 3.14-Route UAA'!D94*$D$111/SUM($D$111,'Table 3.15-Route UAA NoPARS'!$D$111)</f>
        <v>2468.2545278381299</v>
      </c>
      <c r="E94" s="24" t="s">
        <v>239</v>
      </c>
      <c r="F94" s="61">
        <f>IF(D94&lt;&gt;0,C94/D94,0)</f>
        <v>0.11787656117025462</v>
      </c>
      <c r="G94" s="205" t="s">
        <v>240</v>
      </c>
      <c r="H94" s="248">
        <v>1.7351466784479892</v>
      </c>
      <c r="I94" s="40"/>
      <c r="J94" s="36">
        <f>C94*H94</f>
        <v>504.83980837276141</v>
      </c>
      <c r="K94" s="61">
        <f>F94*(H94)</f>
        <v>0.20453312358143852</v>
      </c>
      <c r="L94" s="28"/>
      <c r="M94" s="334"/>
    </row>
    <row r="95" spans="1:14" x14ac:dyDescent="0.25">
      <c r="A95" s="59"/>
      <c r="B95" s="42"/>
      <c r="C95" s="36"/>
      <c r="D95" s="34"/>
      <c r="E95" s="34"/>
      <c r="F95" s="35"/>
      <c r="G95" s="20"/>
      <c r="H95" s="40"/>
      <c r="I95" s="40"/>
      <c r="J95" s="36"/>
      <c r="K95" s="31"/>
    </row>
    <row r="96" spans="1:14" x14ac:dyDescent="0.25">
      <c r="A96" s="17" t="s">
        <v>391</v>
      </c>
      <c r="B96" s="42"/>
      <c r="C96" s="36"/>
      <c r="D96" s="34"/>
      <c r="E96" s="34"/>
      <c r="F96" s="35"/>
      <c r="G96" s="20"/>
      <c r="H96" s="40"/>
      <c r="I96" s="40"/>
      <c r="J96" s="36"/>
      <c r="K96" s="31"/>
    </row>
    <row r="97" spans="1:11" ht="5.15" customHeight="1" x14ac:dyDescent="0.25">
      <c r="A97" s="17"/>
      <c r="B97" s="42"/>
      <c r="C97" s="36"/>
      <c r="D97" s="34"/>
      <c r="E97" s="34"/>
      <c r="F97" s="35"/>
      <c r="G97" s="20"/>
      <c r="H97" s="40"/>
      <c r="I97" s="40"/>
      <c r="J97" s="36"/>
      <c r="K97" s="31"/>
    </row>
    <row r="98" spans="1:11" x14ac:dyDescent="0.25">
      <c r="A98" s="60" t="s">
        <v>284</v>
      </c>
      <c r="B98" s="42"/>
      <c r="C98" s="36"/>
      <c r="D98" s="34"/>
      <c r="E98" s="34"/>
      <c r="F98" s="35"/>
      <c r="G98" s="20"/>
      <c r="H98" s="40"/>
      <c r="I98" s="40"/>
      <c r="J98" s="36"/>
      <c r="K98" s="31"/>
    </row>
    <row r="99" spans="1:11" x14ac:dyDescent="0.25">
      <c r="A99" s="246" t="s">
        <v>280</v>
      </c>
      <c r="B99" s="41" t="s">
        <v>106</v>
      </c>
      <c r="C99" s="36" t="s">
        <v>106</v>
      </c>
      <c r="D99" s="30">
        <f>D11</f>
        <v>840244.92362974887</v>
      </c>
      <c r="E99" s="30"/>
      <c r="F99" s="41" t="s">
        <v>106</v>
      </c>
      <c r="G99" s="118"/>
      <c r="H99" s="41" t="s">
        <v>106</v>
      </c>
      <c r="I99" s="39"/>
      <c r="J99" s="36">
        <f>J11+SUM($J$90:$J$91)*D99/SUM($D$103,$D$109)</f>
        <v>63305.499722421482</v>
      </c>
      <c r="K99" s="61">
        <f>J99/D99</f>
        <v>7.534172232656873E-2</v>
      </c>
    </row>
    <row r="100" spans="1:11" x14ac:dyDescent="0.25">
      <c r="A100" s="246" t="s">
        <v>287</v>
      </c>
      <c r="B100" s="41" t="s">
        <v>106</v>
      </c>
      <c r="C100" s="36" t="s">
        <v>106</v>
      </c>
      <c r="D100" s="30">
        <f>D18</f>
        <v>98245.108680747901</v>
      </c>
      <c r="E100" s="30"/>
      <c r="F100" s="41" t="s">
        <v>106</v>
      </c>
      <c r="G100" s="118"/>
      <c r="H100" s="41" t="s">
        <v>106</v>
      </c>
      <c r="I100" s="39"/>
      <c r="J100" s="36">
        <f>J18+SUM($J$90:$J$91)*D100/SUM($D$103,$D$109)</f>
        <v>7265.6014979044103</v>
      </c>
      <c r="K100" s="61">
        <f>J100/D100</f>
        <v>7.3953824220545417E-2</v>
      </c>
    </row>
    <row r="101" spans="1:11" x14ac:dyDescent="0.25">
      <c r="A101" s="246" t="s">
        <v>282</v>
      </c>
      <c r="B101" s="41" t="s">
        <v>106</v>
      </c>
      <c r="C101" s="36" t="s">
        <v>106</v>
      </c>
      <c r="D101" s="30">
        <f>D25</f>
        <v>275777.22569069773</v>
      </c>
      <c r="E101" s="30"/>
      <c r="F101" s="41" t="s">
        <v>106</v>
      </c>
      <c r="G101" s="118"/>
      <c r="H101" s="41" t="s">
        <v>106</v>
      </c>
      <c r="I101" s="39"/>
      <c r="J101" s="36">
        <f>J25+SUM($J$90:$J$91)*D101/SUM($D$103,$D$109)</f>
        <v>20792.475471146954</v>
      </c>
      <c r="K101" s="61">
        <f>J101/D101</f>
        <v>7.5395912113740249E-2</v>
      </c>
    </row>
    <row r="102" spans="1:11" x14ac:dyDescent="0.25">
      <c r="A102" s="246" t="s">
        <v>276</v>
      </c>
      <c r="B102" s="41" t="s">
        <v>106</v>
      </c>
      <c r="C102" s="36" t="s">
        <v>106</v>
      </c>
      <c r="D102" s="30">
        <f>D32</f>
        <v>0</v>
      </c>
      <c r="E102" s="30"/>
      <c r="F102" s="41" t="s">
        <v>106</v>
      </c>
      <c r="G102" s="118"/>
      <c r="H102" s="41" t="s">
        <v>106</v>
      </c>
      <c r="I102" s="39"/>
      <c r="J102" s="36">
        <f>J32+SUM($J$90:$J$91)*D102/SUM($D$103,$D$109)</f>
        <v>0</v>
      </c>
      <c r="K102" s="61">
        <f>IF(D102&lt;&gt;0,J102/D102,0)</f>
        <v>0</v>
      </c>
    </row>
    <row r="103" spans="1:11" x14ac:dyDescent="0.25">
      <c r="A103" s="246" t="s">
        <v>281</v>
      </c>
      <c r="B103" s="41"/>
      <c r="C103" s="36"/>
      <c r="D103" s="30">
        <f>SUM(D99:D102)</f>
        <v>1214267.2580011946</v>
      </c>
      <c r="E103" s="30"/>
      <c r="F103" s="41"/>
      <c r="G103" s="118"/>
      <c r="H103" s="41"/>
      <c r="I103" s="39"/>
      <c r="J103" s="36">
        <f>SUM(J99:J102)</f>
        <v>91363.576691472845</v>
      </c>
      <c r="K103" s="61">
        <f>J103/D103</f>
        <v>7.5241736190652483E-2</v>
      </c>
    </row>
    <row r="104" spans="1:11" ht="5.15" customHeight="1" x14ac:dyDescent="0.25">
      <c r="A104" s="18"/>
      <c r="B104" s="41"/>
      <c r="C104" s="36"/>
      <c r="D104" s="30"/>
      <c r="E104" s="30"/>
      <c r="F104" s="41"/>
      <c r="G104" s="118"/>
      <c r="H104" s="41"/>
      <c r="I104" s="39"/>
      <c r="J104" s="36"/>
      <c r="K104" s="61"/>
    </row>
    <row r="105" spans="1:11" x14ac:dyDescent="0.25">
      <c r="A105" s="60" t="s">
        <v>392</v>
      </c>
    </row>
    <row r="106" spans="1:11" x14ac:dyDescent="0.25">
      <c r="A106" s="246" t="s">
        <v>386</v>
      </c>
      <c r="B106" s="41" t="s">
        <v>106</v>
      </c>
      <c r="C106" s="36" t="s">
        <v>106</v>
      </c>
      <c r="D106" s="30">
        <f>D52</f>
        <v>24477.234750000032</v>
      </c>
      <c r="E106" s="30"/>
      <c r="F106" s="41" t="s">
        <v>106</v>
      </c>
      <c r="G106" s="118"/>
      <c r="H106" s="41" t="s">
        <v>106</v>
      </c>
      <c r="I106" s="39"/>
      <c r="J106" s="36">
        <f>J52+SUM($J$90:$J$91)*D106/SUM($D$103,$D$109)</f>
        <v>1790.4603234431472</v>
      </c>
      <c r="K106" s="61">
        <f>J106/D106</f>
        <v>7.3147981858659297E-2</v>
      </c>
    </row>
    <row r="107" spans="1:11" x14ac:dyDescent="0.25">
      <c r="A107" s="246" t="s">
        <v>393</v>
      </c>
      <c r="B107" s="41" t="s">
        <v>106</v>
      </c>
      <c r="C107" s="36" t="s">
        <v>106</v>
      </c>
      <c r="D107" s="30">
        <f>D60</f>
        <v>10943.94372796173</v>
      </c>
      <c r="E107" s="30"/>
      <c r="F107" s="41" t="s">
        <v>106</v>
      </c>
      <c r="G107" s="118"/>
      <c r="H107" s="41" t="s">
        <v>106</v>
      </c>
      <c r="I107" s="39"/>
      <c r="J107" s="36">
        <f>J60+SUM($J$90:$J$91)*D107/SUM($D$103,$D$109)</f>
        <v>811.74297538715416</v>
      </c>
      <c r="K107" s="61">
        <f>J107/D107</f>
        <v>7.4172802379562155E-2</v>
      </c>
    </row>
    <row r="108" spans="1:11" x14ac:dyDescent="0.25">
      <c r="A108" s="246" t="s">
        <v>388</v>
      </c>
      <c r="B108" s="41" t="s">
        <v>106</v>
      </c>
      <c r="C108" s="36" t="s">
        <v>106</v>
      </c>
      <c r="D108" s="30">
        <f>D67</f>
        <v>5887.9382281120461</v>
      </c>
      <c r="E108" s="30"/>
      <c r="F108" s="41" t="s">
        <v>106</v>
      </c>
      <c r="G108" s="118"/>
      <c r="H108" s="41" t="s">
        <v>106</v>
      </c>
      <c r="I108" s="39"/>
      <c r="J108" s="36">
        <f>J67+SUM($J$90:$J$91)*D108/SUM($D$103,$D$109)</f>
        <v>395.49727057594561</v>
      </c>
      <c r="K108" s="61">
        <f>J108/D108</f>
        <v>6.7170757445728313E-2</v>
      </c>
    </row>
    <row r="109" spans="1:11" x14ac:dyDescent="0.25">
      <c r="A109" s="246" t="s">
        <v>394</v>
      </c>
      <c r="B109" s="41"/>
      <c r="C109" s="36"/>
      <c r="D109" s="30">
        <f>SUM(D106:D108)</f>
        <v>41309.116706073808</v>
      </c>
      <c r="E109" s="30"/>
      <c r="F109" s="41"/>
      <c r="G109" s="118"/>
      <c r="H109" s="41"/>
      <c r="I109" s="39"/>
      <c r="J109" s="36">
        <f>SUM(J106:J108)</f>
        <v>2997.7005694062468</v>
      </c>
      <c r="K109" s="61">
        <f>J109/D109</f>
        <v>7.2567530086294144E-2</v>
      </c>
    </row>
    <row r="110" spans="1:11" ht="5.15" customHeight="1" x14ac:dyDescent="0.25">
      <c r="A110" s="18"/>
      <c r="B110" s="41"/>
      <c r="C110" s="36"/>
      <c r="D110" s="30"/>
      <c r="E110" s="30"/>
      <c r="F110" s="41"/>
      <c r="G110" s="118"/>
      <c r="H110" s="41"/>
      <c r="I110" s="39"/>
      <c r="J110" s="36"/>
      <c r="K110" s="61"/>
    </row>
    <row r="111" spans="1:11" x14ac:dyDescent="0.25">
      <c r="A111" s="60" t="s">
        <v>286</v>
      </c>
      <c r="B111" s="41" t="s">
        <v>106</v>
      </c>
      <c r="C111" s="36" t="s">
        <v>106</v>
      </c>
      <c r="D111" s="30">
        <f>D82</f>
        <v>1138674.5791299113</v>
      </c>
      <c r="E111" s="205" t="s">
        <v>241</v>
      </c>
      <c r="F111" s="41"/>
      <c r="G111" s="118"/>
      <c r="H111" s="41"/>
      <c r="I111" s="39"/>
      <c r="J111" s="36">
        <f>SUM(J93:J94)+J82</f>
        <v>33196.478134849662</v>
      </c>
      <c r="K111" s="61">
        <f>J111/D111</f>
        <v>2.9153613107105538E-2</v>
      </c>
    </row>
    <row r="112" spans="1:11" hidden="1" x14ac:dyDescent="0.25">
      <c r="A112" s="249"/>
      <c r="B112" s="41"/>
      <c r="C112" s="36"/>
      <c r="D112" s="30"/>
      <c r="E112" s="30"/>
      <c r="F112" s="41"/>
      <c r="G112" s="118"/>
      <c r="H112" s="41"/>
      <c r="I112" s="39"/>
      <c r="J112" s="36"/>
      <c r="K112" s="61"/>
    </row>
    <row r="113" spans="1:11" hidden="1" x14ac:dyDescent="0.25">
      <c r="B113" s="50"/>
      <c r="C113" s="51"/>
      <c r="K113" s="52"/>
    </row>
    <row r="114" spans="1:11" hidden="1" x14ac:dyDescent="0.25">
      <c r="A114" s="93" t="s">
        <v>191</v>
      </c>
      <c r="B114" s="247">
        <v>0</v>
      </c>
      <c r="C114" s="247">
        <v>0</v>
      </c>
      <c r="D114" s="247">
        <v>0</v>
      </c>
      <c r="E114" s="94"/>
      <c r="H114" s="92"/>
      <c r="I114" s="93"/>
      <c r="J114" s="247">
        <f>SUM(J103,J109)-J39-J74-SUM(J90:J91)</f>
        <v>8.1854523159563541E-12</v>
      </c>
    </row>
    <row r="115" spans="1:11" hidden="1" x14ac:dyDescent="0.25">
      <c r="A115" s="93"/>
      <c r="B115" s="247">
        <v>0</v>
      </c>
      <c r="C115" s="247">
        <v>0</v>
      </c>
      <c r="D115" s="247">
        <v>0</v>
      </c>
      <c r="E115" s="94"/>
      <c r="H115" s="92"/>
      <c r="I115" s="93"/>
      <c r="J115" s="247">
        <f>J111-J82-J93-J94</f>
        <v>-5.6843418860808015E-13</v>
      </c>
    </row>
    <row r="116" spans="1:11" hidden="1" x14ac:dyDescent="0.25">
      <c r="B116" s="247">
        <v>0</v>
      </c>
      <c r="C116" s="247">
        <v>0</v>
      </c>
      <c r="D116" s="247">
        <v>0</v>
      </c>
      <c r="H116" s="93"/>
      <c r="I116" s="93"/>
      <c r="J116" s="247">
        <v>0</v>
      </c>
    </row>
    <row r="117" spans="1:11" hidden="1" x14ac:dyDescent="0.25">
      <c r="B117" s="247">
        <v>0</v>
      </c>
      <c r="C117" s="247">
        <v>0</v>
      </c>
      <c r="D117" s="247">
        <v>0</v>
      </c>
      <c r="H117" s="20"/>
      <c r="I117" s="20"/>
      <c r="J117" s="247">
        <v>0</v>
      </c>
    </row>
    <row r="118" spans="1:11" hidden="1" x14ac:dyDescent="0.25">
      <c r="B118" s="247"/>
      <c r="C118" s="247"/>
      <c r="D118" s="247">
        <v>-2.3283064365386963E-10</v>
      </c>
      <c r="H118" s="20"/>
      <c r="I118" s="20"/>
      <c r="J118" s="247">
        <v>0</v>
      </c>
    </row>
    <row r="119" spans="1:11" x14ac:dyDescent="0.25">
      <c r="A119" s="103"/>
      <c r="B119" s="210"/>
      <c r="C119" s="211"/>
      <c r="D119" s="203"/>
    </row>
    <row r="120" spans="1:11" x14ac:dyDescent="0.25">
      <c r="A120" s="4" t="s">
        <v>235</v>
      </c>
    </row>
    <row r="121" spans="1:11" x14ac:dyDescent="0.25">
      <c r="A121" s="17" t="s">
        <v>796</v>
      </c>
    </row>
    <row r="122" spans="1:11" x14ac:dyDescent="0.25">
      <c r="A122" s="17" t="s">
        <v>795</v>
      </c>
    </row>
    <row r="123" spans="1:11" x14ac:dyDescent="0.25">
      <c r="A123" s="17" t="s">
        <v>797</v>
      </c>
    </row>
    <row r="124" spans="1:11" x14ac:dyDescent="0.25">
      <c r="A124" s="17" t="s">
        <v>91</v>
      </c>
    </row>
    <row r="125" spans="1:11" x14ac:dyDescent="0.25">
      <c r="A125" s="17" t="s">
        <v>61</v>
      </c>
    </row>
    <row r="126" spans="1:11" x14ac:dyDescent="0.25">
      <c r="A126" s="2" t="s">
        <v>60</v>
      </c>
    </row>
  </sheetData>
  <phoneticPr fontId="0" type="noConversion"/>
  <printOptions horizontalCentered="1"/>
  <pageMargins left="0.75" right="0.75" top="1" bottom="1" header="0.5" footer="0.5"/>
  <pageSetup scale="92" fitToHeight="3" orientation="landscape" r:id="rId1"/>
  <headerFooter alignWithMargins="0">
    <oddFooter>&amp;L&amp;F</oddFooter>
  </headerFooter>
  <rowBreaks count="2" manualBreakCount="2">
    <brk id="41" max="10" man="1"/>
    <brk id="84" max="10" man="1"/>
  </rowBreak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N37"/>
  <sheetViews>
    <sheetView zoomScale="70" workbookViewId="0"/>
  </sheetViews>
  <sheetFormatPr defaultRowHeight="12.5" x14ac:dyDescent="0.25"/>
  <cols>
    <col min="1" max="1" width="27.6328125" bestFit="1" customWidth="1"/>
    <col min="2" max="2" width="11.6328125" customWidth="1"/>
    <col min="3" max="3" width="2.6328125" customWidth="1"/>
    <col min="4" max="4" width="10.453125" customWidth="1"/>
    <col min="5" max="5" width="2.6328125" customWidth="1"/>
    <col min="6" max="6" width="11.6328125" customWidth="1"/>
    <col min="7" max="7" width="2.6328125" customWidth="1"/>
    <col min="8" max="8" width="11.6328125" customWidth="1"/>
    <col min="9" max="9" width="2.6328125" customWidth="1"/>
    <col min="10" max="11" width="11.6328125" customWidth="1"/>
  </cols>
  <sheetData>
    <row r="1" spans="1:11" ht="15.5" x14ac:dyDescent="0.35">
      <c r="A1" s="117" t="s">
        <v>20</v>
      </c>
    </row>
    <row r="2" spans="1:11" ht="15.5" x14ac:dyDescent="0.35">
      <c r="A2" s="117" t="s">
        <v>787</v>
      </c>
    </row>
    <row r="3" spans="1:11" ht="25" x14ac:dyDescent="0.25">
      <c r="B3" s="125" t="s">
        <v>258</v>
      </c>
      <c r="C3" s="125"/>
      <c r="D3" s="135" t="s">
        <v>207</v>
      </c>
      <c r="E3" s="135"/>
      <c r="F3" s="107" t="s">
        <v>217</v>
      </c>
      <c r="G3" s="120"/>
      <c r="H3" s="119" t="s">
        <v>246</v>
      </c>
      <c r="I3" s="118"/>
      <c r="J3" s="32" t="s">
        <v>218</v>
      </c>
      <c r="K3" s="31" t="s">
        <v>133</v>
      </c>
    </row>
    <row r="5" spans="1:11" x14ac:dyDescent="0.25">
      <c r="A5" s="17" t="s">
        <v>274</v>
      </c>
    </row>
    <row r="6" spans="1:11" x14ac:dyDescent="0.25">
      <c r="A6" s="22" t="s">
        <v>219</v>
      </c>
      <c r="B6" s="6">
        <v>5770.2439066288953</v>
      </c>
      <c r="C6" s="6"/>
      <c r="D6" s="19">
        <v>6.0060223542470689E-2</v>
      </c>
      <c r="E6" s="222" t="s">
        <v>236</v>
      </c>
      <c r="F6" s="81">
        <f>B6*D6</f>
        <v>346.56213892671082</v>
      </c>
      <c r="H6" s="123">
        <v>1.3146614554631439</v>
      </c>
      <c r="J6" s="81">
        <f>H6*F6</f>
        <v>455.61188596980992</v>
      </c>
      <c r="K6" s="19">
        <f>J6/B6</f>
        <v>7.8958860897786295E-2</v>
      </c>
    </row>
    <row r="7" spans="1:11" x14ac:dyDescent="0.25">
      <c r="A7" s="66" t="s">
        <v>381</v>
      </c>
      <c r="B7" s="6">
        <f>B6</f>
        <v>5770.2439066288953</v>
      </c>
      <c r="C7" s="6"/>
      <c r="D7" s="19">
        <v>0.23673240614442359</v>
      </c>
      <c r="E7" s="222" t="s">
        <v>239</v>
      </c>
      <c r="F7" s="81">
        <f>B7*D7</f>
        <v>1366.003724056457</v>
      </c>
      <c r="H7" s="23">
        <v>1.7351466784479892</v>
      </c>
      <c r="J7" s="81">
        <f>H7*F7</f>
        <v>2370.2168245441449</v>
      </c>
      <c r="K7" s="19">
        <f>J7/B7</f>
        <v>0.41076544820249689</v>
      </c>
    </row>
    <row r="8" spans="1:11" x14ac:dyDescent="0.25">
      <c r="A8" s="66" t="s">
        <v>382</v>
      </c>
      <c r="B8" s="6">
        <f>B7</f>
        <v>5770.2439066288953</v>
      </c>
      <c r="C8" s="6"/>
      <c r="D8" s="19">
        <v>2.1373664762709015E-2</v>
      </c>
      <c r="E8" s="222" t="s">
        <v>240</v>
      </c>
      <c r="F8" s="81">
        <f>B8*D8</f>
        <v>123.33125885935043</v>
      </c>
      <c r="H8" s="23">
        <v>1.7351466784479892</v>
      </c>
      <c r="J8" s="81">
        <f>H8*F8</f>
        <v>213.99782415861102</v>
      </c>
      <c r="K8" s="19">
        <f>J8/B8</f>
        <v>3.7086443419275375E-2</v>
      </c>
    </row>
    <row r="9" spans="1:11" x14ac:dyDescent="0.25">
      <c r="A9" s="18" t="s">
        <v>102</v>
      </c>
      <c r="B9" s="6">
        <f>B8</f>
        <v>5770.2439066288953</v>
      </c>
      <c r="C9" s="6"/>
      <c r="F9" s="81">
        <f>SUM(F6:F8)</f>
        <v>1835.8971218425181</v>
      </c>
      <c r="J9" s="81">
        <f>SUM(J6:J8)</f>
        <v>3039.8265346725657</v>
      </c>
      <c r="K9" s="19">
        <f>J9/B9</f>
        <v>0.52681075251955856</v>
      </c>
    </row>
    <row r="11" spans="1:11" x14ac:dyDescent="0.25">
      <c r="A11" s="17" t="s">
        <v>278</v>
      </c>
    </row>
    <row r="12" spans="1:11" x14ac:dyDescent="0.25">
      <c r="A12" s="22" t="s">
        <v>219</v>
      </c>
      <c r="B12" s="6">
        <v>6859.2239604115666</v>
      </c>
      <c r="C12" s="6"/>
      <c r="D12" s="19">
        <v>6.0060223542470689E-2</v>
      </c>
      <c r="E12" s="222" t="s">
        <v>236</v>
      </c>
      <c r="F12" s="81">
        <f>B12*D12</f>
        <v>411.96652439018982</v>
      </c>
      <c r="H12" s="123">
        <v>1.3146614554631439</v>
      </c>
      <c r="J12" s="81">
        <f>H12*F12</f>
        <v>541.59651055689972</v>
      </c>
      <c r="K12" s="19">
        <f>J12/B12</f>
        <v>7.8958860897786295E-2</v>
      </c>
    </row>
    <row r="13" spans="1:11" x14ac:dyDescent="0.25">
      <c r="A13" s="66" t="s">
        <v>381</v>
      </c>
      <c r="B13" s="6">
        <f>B12</f>
        <v>6859.2239604115666</v>
      </c>
      <c r="C13" s="6"/>
      <c r="D13" s="19">
        <v>0.23673240614442359</v>
      </c>
      <c r="E13" s="222" t="s">
        <v>239</v>
      </c>
      <c r="F13" s="81">
        <f>B13*D13</f>
        <v>1623.8005924317126</v>
      </c>
      <c r="H13" s="23">
        <v>1.7351466784479892</v>
      </c>
      <c r="J13" s="81">
        <f>H13*F13</f>
        <v>2817.5322044197633</v>
      </c>
      <c r="K13" s="19">
        <f>J13/B13</f>
        <v>0.41076544820249694</v>
      </c>
    </row>
    <row r="14" spans="1:11" x14ac:dyDescent="0.25">
      <c r="A14" s="66" t="s">
        <v>382</v>
      </c>
      <c r="B14" s="6">
        <f>B13</f>
        <v>6859.2239604115666</v>
      </c>
      <c r="C14" s="6"/>
      <c r="D14" s="19">
        <v>2.1373664762709015E-2</v>
      </c>
      <c r="E14" s="222" t="s">
        <v>240</v>
      </c>
      <c r="F14" s="81">
        <f>B14*D14</f>
        <v>146.60675346217806</v>
      </c>
      <c r="H14" s="23">
        <v>1.7351466784479892</v>
      </c>
      <c r="J14" s="81">
        <f>H14*F14</f>
        <v>254.38422130794152</v>
      </c>
      <c r="K14" s="19">
        <f>J14/B14</f>
        <v>3.7086443419275375E-2</v>
      </c>
    </row>
    <row r="15" spans="1:11" x14ac:dyDescent="0.25">
      <c r="A15" s="18" t="s">
        <v>102</v>
      </c>
      <c r="B15" s="6">
        <f>B14</f>
        <v>6859.2239604115666</v>
      </c>
      <c r="C15" s="6"/>
      <c r="F15" s="81">
        <f>SUM(F12:F14)</f>
        <v>2182.3738702840806</v>
      </c>
      <c r="J15" s="81">
        <f>SUM(J12:J14)</f>
        <v>3613.5129362846046</v>
      </c>
      <c r="K15" s="19">
        <f>J15/B15</f>
        <v>0.52681075251955867</v>
      </c>
    </row>
    <row r="17" spans="1:14" x14ac:dyDescent="0.25">
      <c r="A17" s="4" t="s">
        <v>279</v>
      </c>
      <c r="N17" s="11"/>
    </row>
    <row r="18" spans="1:14" x14ac:dyDescent="0.25">
      <c r="A18" s="22" t="s">
        <v>219</v>
      </c>
      <c r="B18" s="6">
        <v>3493.6642864085848</v>
      </c>
      <c r="C18" s="6"/>
      <c r="D18" s="19">
        <v>5.4891980554399457E-2</v>
      </c>
      <c r="E18" s="222" t="s">
        <v>236</v>
      </c>
      <c r="F18" s="81">
        <f>B18*D18</f>
        <v>191.7741520731399</v>
      </c>
      <c r="H18" s="123">
        <v>1.3146614554631439</v>
      </c>
      <c r="J18" s="81">
        <f>H18*F18</f>
        <v>252.1180858846844</v>
      </c>
      <c r="K18" s="19">
        <f>J18/B18</f>
        <v>7.2164371048901388E-2</v>
      </c>
    </row>
    <row r="19" spans="1:14" x14ac:dyDescent="0.25">
      <c r="A19" s="66" t="s">
        <v>381</v>
      </c>
      <c r="B19" s="6">
        <f>B18</f>
        <v>3493.6642864085848</v>
      </c>
      <c r="C19" s="6"/>
      <c r="D19" s="19">
        <v>9.6502896407545585E-2</v>
      </c>
      <c r="E19" s="222" t="s">
        <v>239</v>
      </c>
      <c r="F19" s="81">
        <f>B19*D19</f>
        <v>337.1487227140293</v>
      </c>
      <c r="H19" s="23">
        <v>1.7351466784479892</v>
      </c>
      <c r="J19" s="81">
        <f>H19*F19</f>
        <v>585.00248636023002</v>
      </c>
      <c r="K19" s="19">
        <f>J19/B19</f>
        <v>0.16744668016216308</v>
      </c>
      <c r="N19" s="12"/>
    </row>
    <row r="20" spans="1:14" x14ac:dyDescent="0.25">
      <c r="A20" s="66" t="s">
        <v>382</v>
      </c>
      <c r="B20" s="6">
        <f>B19</f>
        <v>3493.6642864085848</v>
      </c>
      <c r="C20" s="6"/>
      <c r="D20" s="19">
        <v>2.1373664762709018E-2</v>
      </c>
      <c r="E20" s="222" t="s">
        <v>240</v>
      </c>
      <c r="F20" s="81">
        <f>B20*D20</f>
        <v>74.672409251146121</v>
      </c>
      <c r="H20" s="23">
        <v>1.7351466784479892</v>
      </c>
      <c r="J20" s="81">
        <f>H20*F20</f>
        <v>129.56758288383509</v>
      </c>
      <c r="K20" s="19">
        <f>J20/B20</f>
        <v>3.7086443419275382E-2</v>
      </c>
    </row>
    <row r="21" spans="1:14" x14ac:dyDescent="0.25">
      <c r="A21" s="18" t="s">
        <v>102</v>
      </c>
      <c r="B21" s="6">
        <f>B20</f>
        <v>3493.6642864085848</v>
      </c>
      <c r="C21" s="6"/>
      <c r="F21" s="81">
        <f>SUM(F18:F20)</f>
        <v>603.59528403831541</v>
      </c>
      <c r="J21" s="81">
        <f>SUM(J18:J20)</f>
        <v>966.68815512874949</v>
      </c>
      <c r="K21" s="19">
        <f>J21/B21</f>
        <v>0.27669749463033982</v>
      </c>
    </row>
    <row r="23" spans="1:14" x14ac:dyDescent="0.25">
      <c r="A23" s="4" t="s">
        <v>220</v>
      </c>
    </row>
    <row r="24" spans="1:14" x14ac:dyDescent="0.25">
      <c r="A24" s="22" t="s">
        <v>219</v>
      </c>
      <c r="B24" s="6">
        <f>B6+B12+B18</f>
        <v>16123.132153449045</v>
      </c>
      <c r="C24" s="6"/>
      <c r="D24" s="19">
        <f>F24/B24</f>
        <v>5.8940335311135725E-2</v>
      </c>
      <c r="E24" s="19"/>
      <c r="F24" s="81">
        <f>F6+F12+F18</f>
        <v>950.30281539004056</v>
      </c>
      <c r="J24" s="81">
        <f>J6+J12+J18</f>
        <v>1249.326482411394</v>
      </c>
      <c r="K24" s="19">
        <f>J24/B24</f>
        <v>7.7486587005623414E-2</v>
      </c>
    </row>
    <row r="25" spans="1:14" x14ac:dyDescent="0.25">
      <c r="A25" s="66" t="s">
        <v>381</v>
      </c>
      <c r="B25" s="6">
        <f>B7+B13+B19</f>
        <v>16123.132153449045</v>
      </c>
      <c r="C25" s="6"/>
      <c r="D25" s="19">
        <f>F25/B25</f>
        <v>0.20634657134473094</v>
      </c>
      <c r="E25" s="19"/>
      <c r="F25" s="81">
        <f>F7+F13+F19</f>
        <v>3326.9530392021989</v>
      </c>
      <c r="J25" s="81">
        <f>J7+J13+J19</f>
        <v>5772.7515153241384</v>
      </c>
      <c r="K25" s="19">
        <f>J25/B25</f>
        <v>0.35804156787794095</v>
      </c>
    </row>
    <row r="26" spans="1:14" x14ac:dyDescent="0.25">
      <c r="A26" s="66" t="s">
        <v>382</v>
      </c>
      <c r="B26" s="6">
        <f>B8+B14+B20</f>
        <v>16123.132153449045</v>
      </c>
      <c r="C26" s="6"/>
      <c r="D26" s="19">
        <f>F26/B26</f>
        <v>2.1373664762709018E-2</v>
      </c>
      <c r="E26" s="19"/>
      <c r="F26" s="81">
        <f>F8+F14+F20</f>
        <v>344.61042157267462</v>
      </c>
      <c r="J26" s="81">
        <f>J8+J14+J20</f>
        <v>597.94962835038768</v>
      </c>
      <c r="K26" s="19">
        <f>J26/B26</f>
        <v>3.7086443419275382E-2</v>
      </c>
    </row>
    <row r="27" spans="1:14" x14ac:dyDescent="0.25">
      <c r="A27" s="18" t="s">
        <v>102</v>
      </c>
      <c r="B27" s="6">
        <f>B9+B15+B21</f>
        <v>16123.132153449045</v>
      </c>
      <c r="C27" s="6"/>
      <c r="D27" s="19">
        <f>F27/B27</f>
        <v>0.28666057141857565</v>
      </c>
      <c r="E27" s="19"/>
      <c r="F27" s="81">
        <f>F9+F15+F21</f>
        <v>4621.8662761649139</v>
      </c>
      <c r="J27" s="81">
        <f>J9+J15+J21</f>
        <v>7620.02762608592</v>
      </c>
      <c r="K27" s="19">
        <f>J27/B27</f>
        <v>0.47261459830283975</v>
      </c>
    </row>
    <row r="28" spans="1:14" hidden="1" x14ac:dyDescent="0.25">
      <c r="A28" s="18"/>
      <c r="B28" s="6"/>
      <c r="C28" s="6"/>
      <c r="D28" s="19"/>
      <c r="E28" s="19"/>
      <c r="F28" s="81"/>
      <c r="J28" s="81"/>
      <c r="K28" s="19"/>
    </row>
    <row r="29" spans="1:14" hidden="1" x14ac:dyDescent="0.25">
      <c r="A29" s="18" t="s">
        <v>191</v>
      </c>
      <c r="B29" s="98">
        <v>0</v>
      </c>
      <c r="C29" s="6"/>
      <c r="D29" s="19"/>
      <c r="E29" s="19"/>
      <c r="F29" s="81"/>
      <c r="J29" s="98">
        <v>0</v>
      </c>
      <c r="K29" s="19"/>
    </row>
    <row r="30" spans="1:14" hidden="1" x14ac:dyDescent="0.25">
      <c r="A30" s="18"/>
      <c r="B30" s="98">
        <v>0</v>
      </c>
      <c r="C30" s="6"/>
      <c r="D30" s="19"/>
      <c r="E30" s="19"/>
      <c r="F30" s="81"/>
      <c r="J30" s="98">
        <v>0</v>
      </c>
      <c r="K30" s="19"/>
    </row>
    <row r="31" spans="1:14" hidden="1" x14ac:dyDescent="0.25">
      <c r="A31" s="18"/>
      <c r="B31" s="98">
        <v>0</v>
      </c>
      <c r="C31" s="6"/>
      <c r="D31" s="19"/>
      <c r="E31" s="19"/>
      <c r="F31" s="81"/>
      <c r="J31" s="98">
        <v>0</v>
      </c>
      <c r="K31" s="19"/>
    </row>
    <row r="32" spans="1:14" x14ac:dyDescent="0.25">
      <c r="A32" s="204"/>
      <c r="B32" s="204"/>
      <c r="C32" s="204"/>
      <c r="D32" s="204"/>
      <c r="E32" s="204"/>
      <c r="F32" s="204"/>
    </row>
    <row r="33" spans="1:11" x14ac:dyDescent="0.25">
      <c r="A33" s="4" t="s">
        <v>235</v>
      </c>
      <c r="K33" s="19"/>
    </row>
    <row r="34" spans="1:11" x14ac:dyDescent="0.25">
      <c r="A34" s="17" t="s">
        <v>796</v>
      </c>
    </row>
    <row r="35" spans="1:11" x14ac:dyDescent="0.25">
      <c r="A35" s="17" t="s">
        <v>795</v>
      </c>
    </row>
    <row r="36" spans="1:11" x14ac:dyDescent="0.25">
      <c r="A36" s="11" t="s">
        <v>798</v>
      </c>
    </row>
    <row r="37" spans="1:11" x14ac:dyDescent="0.25">
      <c r="A37" s="11" t="s">
        <v>799</v>
      </c>
    </row>
  </sheetData>
  <phoneticPr fontId="5" type="noConversion"/>
  <printOptions horizontalCentered="1"/>
  <pageMargins left="0.75" right="0.75" top="1" bottom="1" header="0.5" footer="0.5"/>
  <pageSetup orientation="landscape" r:id="rId1"/>
  <headerFooter alignWithMargins="0">
    <oddFooter>&amp;L&amp;F</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6">
    <pageSetUpPr fitToPage="1"/>
  </sheetPr>
  <dimension ref="A1:K93"/>
  <sheetViews>
    <sheetView zoomScale="70" workbookViewId="0"/>
  </sheetViews>
  <sheetFormatPr defaultColWidth="9.08984375" defaultRowHeight="12.5" x14ac:dyDescent="0.25"/>
  <cols>
    <col min="1" max="1" width="25.90625" style="4" customWidth="1"/>
    <col min="2" max="5" width="12.6328125" style="4" customWidth="1"/>
    <col min="6" max="6" width="2.6328125" style="4" customWidth="1"/>
    <col min="7" max="7" width="12.6328125" style="4" customWidth="1"/>
    <col min="8" max="8" width="2.6328125" style="4" customWidth="1"/>
    <col min="9" max="10" width="12.6328125" style="4" customWidth="1"/>
    <col min="11" max="16384" width="9.08984375" style="4"/>
  </cols>
  <sheetData>
    <row r="1" spans="1:10" ht="15.5" x14ac:dyDescent="0.35">
      <c r="A1" s="117" t="s">
        <v>558</v>
      </c>
    </row>
    <row r="2" spans="1:10" ht="15.5" x14ac:dyDescent="0.35">
      <c r="A2" s="117" t="s">
        <v>787</v>
      </c>
      <c r="B2" s="1"/>
      <c r="C2" s="1"/>
      <c r="D2" s="1"/>
      <c r="E2" s="1"/>
      <c r="F2" s="1"/>
      <c r="G2" s="1"/>
    </row>
    <row r="3" spans="1:10" ht="25" x14ac:dyDescent="0.25">
      <c r="B3" s="138" t="s">
        <v>248</v>
      </c>
      <c r="C3" s="138" t="s">
        <v>249</v>
      </c>
      <c r="D3" s="125" t="s">
        <v>250</v>
      </c>
      <c r="E3" s="126" t="s">
        <v>207</v>
      </c>
      <c r="F3" s="20"/>
      <c r="G3" s="119" t="s">
        <v>246</v>
      </c>
      <c r="H3" s="118"/>
      <c r="I3" s="119" t="s">
        <v>218</v>
      </c>
      <c r="J3" s="31" t="s">
        <v>133</v>
      </c>
    </row>
    <row r="4" spans="1:10" x14ac:dyDescent="0.25">
      <c r="B4" s="20"/>
      <c r="C4" s="20"/>
      <c r="D4" s="20"/>
      <c r="E4" s="20"/>
      <c r="F4" s="20"/>
      <c r="G4" s="20"/>
      <c r="H4" s="20"/>
      <c r="I4" s="36"/>
      <c r="J4" s="20"/>
    </row>
    <row r="5" spans="1:10" ht="13" x14ac:dyDescent="0.3">
      <c r="A5" s="16" t="s">
        <v>439</v>
      </c>
    </row>
    <row r="6" spans="1:10" x14ac:dyDescent="0.25">
      <c r="A6" s="59" t="s">
        <v>483</v>
      </c>
      <c r="B6" s="34">
        <v>2.3041627627974894</v>
      </c>
      <c r="C6" s="36">
        <v>120.00675278496067</v>
      </c>
      <c r="D6" s="24">
        <v>24477.234750000025</v>
      </c>
      <c r="E6" s="61">
        <f t="shared" ref="E6:E12" si="0">IF(ISERROR(C6/D6),"n/a",C6/D6)</f>
        <v>4.9027904504188547E-3</v>
      </c>
      <c r="G6" s="39">
        <v>1.5638897968218963</v>
      </c>
      <c r="I6" s="32">
        <f t="shared" ref="I6:I11" si="1">C6*G6</f>
        <v>187.67733623012768</v>
      </c>
      <c r="J6" s="63">
        <f t="shared" ref="J6:J12" si="2">IF(ISERROR(I6/D6),"n/a",I6/D6)</f>
        <v>7.6674239613658763E-3</v>
      </c>
    </row>
    <row r="7" spans="1:10" x14ac:dyDescent="0.25">
      <c r="A7" s="59" t="s">
        <v>484</v>
      </c>
      <c r="B7" s="34">
        <v>1.0302073691604618</v>
      </c>
      <c r="C7" s="36">
        <v>53.655862799372109</v>
      </c>
      <c r="D7" s="24">
        <v>10943.943727961732</v>
      </c>
      <c r="E7" s="61">
        <f t="shared" si="0"/>
        <v>4.9027904504188556E-3</v>
      </c>
      <c r="G7" s="39">
        <v>1.5638897968218963</v>
      </c>
      <c r="I7" s="32">
        <f t="shared" si="1"/>
        <v>83.911856371613595</v>
      </c>
      <c r="J7" s="63">
        <f t="shared" si="2"/>
        <v>7.6674239613658771E-3</v>
      </c>
    </row>
    <row r="8" spans="1:10" x14ac:dyDescent="0.25">
      <c r="A8" s="59" t="s">
        <v>485</v>
      </c>
      <c r="B8" s="34">
        <v>0.55426064886139137</v>
      </c>
      <c r="C8" s="36">
        <v>28.867327317443863</v>
      </c>
      <c r="D8" s="24">
        <v>5887.9382281120479</v>
      </c>
      <c r="E8" s="61">
        <f t="shared" si="0"/>
        <v>4.9027904504188547E-3</v>
      </c>
      <c r="G8" s="39">
        <v>1.5638897968218963</v>
      </c>
      <c r="I8" s="32">
        <f t="shared" si="1"/>
        <v>45.145318653268461</v>
      </c>
      <c r="J8" s="63">
        <f t="shared" si="2"/>
        <v>7.6674239613658771E-3</v>
      </c>
    </row>
    <row r="9" spans="1:10" x14ac:dyDescent="0.25">
      <c r="A9" s="59" t="s">
        <v>486</v>
      </c>
      <c r="B9" s="34">
        <v>94.728623535944962</v>
      </c>
      <c r="C9" s="36">
        <v>4933.711580572437</v>
      </c>
      <c r="D9" s="24">
        <v>840244.92362974887</v>
      </c>
      <c r="E9" s="61">
        <f t="shared" si="0"/>
        <v>5.8717541062425519E-3</v>
      </c>
      <c r="G9" s="39">
        <v>1.5638897968218963</v>
      </c>
      <c r="I9" s="32">
        <f t="shared" si="1"/>
        <v>7715.7812013192652</v>
      </c>
      <c r="J9" s="63">
        <f t="shared" si="2"/>
        <v>9.182776336199799E-3</v>
      </c>
    </row>
    <row r="10" spans="1:10" x14ac:dyDescent="0.25">
      <c r="A10" s="59" t="s">
        <v>440</v>
      </c>
      <c r="B10" s="34">
        <v>9.248296360321973</v>
      </c>
      <c r="C10" s="36">
        <v>481.67518064033345</v>
      </c>
      <c r="D10" s="24">
        <v>98245.108680747915</v>
      </c>
      <c r="E10" s="61">
        <f t="shared" si="0"/>
        <v>4.9027904504188556E-3</v>
      </c>
      <c r="G10" s="39">
        <v>1.5638897968218963</v>
      </c>
      <c r="I10" s="32">
        <f t="shared" si="1"/>
        <v>753.28690038576133</v>
      </c>
      <c r="J10" s="63">
        <f t="shared" si="2"/>
        <v>7.6674239613658771E-3</v>
      </c>
    </row>
    <row r="11" spans="1:10" x14ac:dyDescent="0.25">
      <c r="A11" s="59" t="s">
        <v>441</v>
      </c>
      <c r="B11" s="34">
        <v>25.960269644597187</v>
      </c>
      <c r="C11" s="36">
        <v>1352.0779485593587</v>
      </c>
      <c r="D11" s="24">
        <v>275777.22569069779</v>
      </c>
      <c r="E11" s="61">
        <f t="shared" si="0"/>
        <v>4.9027904504188556E-3</v>
      </c>
      <c r="G11" s="39">
        <v>1.5638897968218963</v>
      </c>
      <c r="I11" s="32">
        <f t="shared" si="1"/>
        <v>2114.5009082598617</v>
      </c>
      <c r="J11" s="63">
        <f t="shared" si="2"/>
        <v>7.667423961365878E-3</v>
      </c>
    </row>
    <row r="12" spans="1:10" x14ac:dyDescent="0.25">
      <c r="A12" s="59" t="s">
        <v>444</v>
      </c>
      <c r="B12" s="34">
        <f>SUM(B6:B11)</f>
        <v>133.82582032168347</v>
      </c>
      <c r="C12" s="36">
        <f>SUM(C6:C11)</f>
        <v>6969.9946526739059</v>
      </c>
      <c r="D12" s="24">
        <f>SUM(D6:D11)</f>
        <v>1255576.3747072683</v>
      </c>
      <c r="E12" s="61">
        <f t="shared" si="0"/>
        <v>5.5512311262617756E-3</v>
      </c>
      <c r="I12" s="29">
        <f>SUM(I6:I11)</f>
        <v>10900.303521219899</v>
      </c>
      <c r="J12" s="63">
        <f t="shared" si="2"/>
        <v>8.6815137181609145E-3</v>
      </c>
    </row>
    <row r="13" spans="1:10" x14ac:dyDescent="0.25">
      <c r="B13" s="34"/>
      <c r="C13" s="36"/>
      <c r="D13" s="24"/>
    </row>
    <row r="14" spans="1:10" ht="13" x14ac:dyDescent="0.3">
      <c r="A14" s="16" t="s">
        <v>442</v>
      </c>
      <c r="B14" s="34"/>
      <c r="C14" s="36"/>
      <c r="D14" s="24"/>
    </row>
    <row r="15" spans="1:10" x14ac:dyDescent="0.25">
      <c r="A15" s="59" t="s">
        <v>276</v>
      </c>
      <c r="B15" s="34">
        <v>47.664234507262869</v>
      </c>
      <c r="C15" s="36">
        <v>2482.4765418276206</v>
      </c>
      <c r="D15" s="24">
        <v>33392.342392588303</v>
      </c>
      <c r="E15" s="61">
        <f t="shared" ref="E15:E21" si="3">IF(ISERROR(C15/D15),"n/a",C15/D15)</f>
        <v>7.4342689489750383E-2</v>
      </c>
      <c r="G15" s="39">
        <v>1.5638897968218963</v>
      </c>
      <c r="I15" s="32">
        <f t="shared" ref="I15:I20" si="4">C15*G15</f>
        <v>3882.3197346139214</v>
      </c>
      <c r="J15" s="63">
        <f t="shared" ref="J15:J21" si="5">IF(ISERROR(I15/D15),"n/a",I15/D15)</f>
        <v>0.11626377356131905</v>
      </c>
    </row>
    <row r="16" spans="1:10" x14ac:dyDescent="0.25">
      <c r="A16" s="59" t="s">
        <v>280</v>
      </c>
      <c r="B16" s="34">
        <v>27.232142517156284</v>
      </c>
      <c r="C16" s="36">
        <v>1418.3203754640381</v>
      </c>
      <c r="D16" s="24">
        <v>14610.103356919364</v>
      </c>
      <c r="E16" s="61">
        <f t="shared" si="3"/>
        <v>9.7078052140700269E-2</v>
      </c>
      <c r="G16" s="39">
        <v>1.5638897968218963</v>
      </c>
      <c r="I16" s="32">
        <f t="shared" si="4"/>
        <v>2218.0967638128104</v>
      </c>
      <c r="J16" s="63">
        <f t="shared" si="5"/>
        <v>0.15181937523818523</v>
      </c>
    </row>
    <row r="17" spans="1:10" x14ac:dyDescent="0.25">
      <c r="A17" s="59" t="s">
        <v>440</v>
      </c>
      <c r="B17" s="34">
        <v>0</v>
      </c>
      <c r="C17" s="36">
        <v>0</v>
      </c>
      <c r="D17" s="24">
        <v>0</v>
      </c>
      <c r="E17" s="61" t="str">
        <f t="shared" si="3"/>
        <v>n/a</v>
      </c>
      <c r="G17" s="39">
        <v>1.5638897968218963</v>
      </c>
      <c r="I17" s="32">
        <f t="shared" si="4"/>
        <v>0</v>
      </c>
      <c r="J17" s="63" t="str">
        <f t="shared" si="5"/>
        <v>n/a</v>
      </c>
    </row>
    <row r="18" spans="1:10" x14ac:dyDescent="0.25">
      <c r="A18" s="59" t="s">
        <v>441</v>
      </c>
      <c r="B18" s="34">
        <v>0</v>
      </c>
      <c r="C18" s="36">
        <v>0</v>
      </c>
      <c r="D18" s="24">
        <v>0</v>
      </c>
      <c r="E18" s="61" t="str">
        <f t="shared" si="3"/>
        <v>n/a</v>
      </c>
      <c r="G18" s="39">
        <v>1.5638897968218963</v>
      </c>
      <c r="I18" s="32">
        <f t="shared" si="4"/>
        <v>0</v>
      </c>
      <c r="J18" s="63" t="str">
        <f t="shared" si="5"/>
        <v>n/a</v>
      </c>
    </row>
    <row r="19" spans="1:10" x14ac:dyDescent="0.25">
      <c r="A19" s="59" t="s">
        <v>443</v>
      </c>
      <c r="B19" s="34">
        <v>0.177974727885681</v>
      </c>
      <c r="C19" s="36">
        <v>9.2693838804236908</v>
      </c>
      <c r="D19" s="24">
        <v>285.36834498510188</v>
      </c>
      <c r="E19" s="61">
        <f t="shared" si="3"/>
        <v>3.2482172754331295E-2</v>
      </c>
      <c r="G19" s="39">
        <v>1.5638897968218963</v>
      </c>
      <c r="I19" s="32">
        <f t="shared" si="4"/>
        <v>14.496294873419966</v>
      </c>
      <c r="J19" s="63">
        <f t="shared" si="5"/>
        <v>5.0798538549104905E-2</v>
      </c>
    </row>
    <row r="20" spans="1:10" x14ac:dyDescent="0.25">
      <c r="A20" s="59" t="s">
        <v>230</v>
      </c>
      <c r="B20" s="34">
        <v>329.3792066596248</v>
      </c>
      <c r="C20" s="36">
        <v>15875.089623373937</v>
      </c>
      <c r="D20" s="24">
        <v>1302789.0822836638</v>
      </c>
      <c r="E20" s="61">
        <f t="shared" si="3"/>
        <v>1.2185464124051786E-2</v>
      </c>
      <c r="G20" s="39">
        <v>1.5638897968218963</v>
      </c>
      <c r="I20" s="32">
        <f t="shared" si="4"/>
        <v>24826.890685627659</v>
      </c>
      <c r="J20" s="63">
        <f t="shared" si="5"/>
        <v>1.9056723013143855E-2</v>
      </c>
    </row>
    <row r="21" spans="1:10" x14ac:dyDescent="0.25">
      <c r="A21" s="59" t="s">
        <v>445</v>
      </c>
      <c r="B21" s="34">
        <f>SUM(B15:B20)</f>
        <v>404.45355841192963</v>
      </c>
      <c r="C21" s="36">
        <f>SUM(C15:C20)</f>
        <v>19785.155924546019</v>
      </c>
      <c r="D21" s="24">
        <f>SUM(D15:D20)</f>
        <v>1351076.8963781565</v>
      </c>
      <c r="E21" s="61">
        <f t="shared" si="3"/>
        <v>1.464398952982192E-2</v>
      </c>
      <c r="I21" s="29">
        <f>SUM(I15:I20)</f>
        <v>30941.80347892781</v>
      </c>
      <c r="J21" s="63">
        <f t="shared" si="5"/>
        <v>2.2901585810455177E-2</v>
      </c>
    </row>
    <row r="22" spans="1:10" x14ac:dyDescent="0.25">
      <c r="B22" s="34"/>
      <c r="C22" s="36"/>
      <c r="D22" s="24"/>
    </row>
    <row r="23" spans="1:10" ht="13" x14ac:dyDescent="0.3">
      <c r="A23" s="14" t="s">
        <v>446</v>
      </c>
      <c r="B23" s="34"/>
      <c r="C23" s="36"/>
      <c r="D23" s="24"/>
    </row>
    <row r="24" spans="1:10" x14ac:dyDescent="0.25">
      <c r="A24" s="59" t="s">
        <v>276</v>
      </c>
      <c r="B24" s="34">
        <v>14.351677149379398</v>
      </c>
      <c r="C24" s="36">
        <v>933.82796004264344</v>
      </c>
      <c r="D24" s="24">
        <v>2709.8274997471426</v>
      </c>
      <c r="E24" s="61">
        <f t="shared" ref="E24:E30" si="6">IF(ISERROR(C24/D24),"n/a",C24/D24)</f>
        <v>0.34460789852113466</v>
      </c>
      <c r="G24" s="39">
        <v>1.5638897968218963</v>
      </c>
      <c r="I24" s="32">
        <f t="shared" ref="I24:I29" si="7">C24*G24</f>
        <v>1460.4040186976956</v>
      </c>
      <c r="J24" s="63">
        <f t="shared" ref="J24:J30" si="8">IF(ISERROR(I24/D24),"n/a",I24/D24)</f>
        <v>0.53892877640143799</v>
      </c>
    </row>
    <row r="25" spans="1:10" x14ac:dyDescent="0.25">
      <c r="A25" s="59" t="s">
        <v>280</v>
      </c>
      <c r="B25" s="34">
        <v>124.71351930921332</v>
      </c>
      <c r="C25" s="36">
        <v>9959.4413994846236</v>
      </c>
      <c r="D25" s="24">
        <v>26263.821994005455</v>
      </c>
      <c r="E25" s="61">
        <f t="shared" si="6"/>
        <v>0.37920761882096982</v>
      </c>
      <c r="G25" s="39">
        <v>1.5638897968218963</v>
      </c>
      <c r="I25" s="32">
        <f t="shared" si="7"/>
        <v>15575.46878669959</v>
      </c>
      <c r="J25" s="63">
        <f t="shared" si="8"/>
        <v>0.59303892595124152</v>
      </c>
    </row>
    <row r="26" spans="1:10" x14ac:dyDescent="0.25">
      <c r="A26" s="59" t="s">
        <v>440</v>
      </c>
      <c r="B26" s="34">
        <v>46.007633791385224</v>
      </c>
      <c r="C26" s="36">
        <v>2990.6085610001364</v>
      </c>
      <c r="D26" s="24">
        <v>8753.6785785110205</v>
      </c>
      <c r="E26" s="61">
        <f t="shared" si="6"/>
        <v>0.34164020693444647</v>
      </c>
      <c r="G26" s="39">
        <v>1.5638897968218963</v>
      </c>
      <c r="I26" s="32">
        <f t="shared" si="7"/>
        <v>4676.9822148363273</v>
      </c>
      <c r="J26" s="63">
        <f t="shared" si="8"/>
        <v>0.53428763380890221</v>
      </c>
    </row>
    <row r="27" spans="1:10" x14ac:dyDescent="0.25">
      <c r="A27" s="59" t="s">
        <v>441</v>
      </c>
      <c r="B27" s="34">
        <v>69.824202204774252</v>
      </c>
      <c r="C27" s="36">
        <v>7235.8039426514597</v>
      </c>
      <c r="D27" s="24">
        <v>29538.236814774391</v>
      </c>
      <c r="E27" s="61">
        <f t="shared" si="6"/>
        <v>0.24496397628690775</v>
      </c>
      <c r="G27" s="39">
        <v>1.5638897968218963</v>
      </c>
      <c r="I27" s="32">
        <f t="shared" si="7"/>
        <v>11315.999957716267</v>
      </c>
      <c r="J27" s="63">
        <f t="shared" si="8"/>
        <v>0.38309666310401597</v>
      </c>
    </row>
    <row r="28" spans="1:10" x14ac:dyDescent="0.25">
      <c r="A28" s="59" t="s">
        <v>443</v>
      </c>
      <c r="B28" s="34">
        <v>0.67120152366520325</v>
      </c>
      <c r="C28" s="36">
        <v>62.58250701729601</v>
      </c>
      <c r="D28" s="24">
        <v>478.3192665992193</v>
      </c>
      <c r="E28" s="61">
        <f t="shared" si="6"/>
        <v>0.1308383571129145</v>
      </c>
      <c r="G28" s="39">
        <v>1.5638897968218963</v>
      </c>
      <c r="I28" s="32">
        <f t="shared" si="7"/>
        <v>97.872144183883961</v>
      </c>
      <c r="J28" s="63">
        <f t="shared" si="8"/>
        <v>0.20461677172182657</v>
      </c>
    </row>
    <row r="29" spans="1:10" x14ac:dyDescent="0.25">
      <c r="A29" s="59" t="s">
        <v>230</v>
      </c>
      <c r="B29" s="34">
        <v>137.74867643664194</v>
      </c>
      <c r="C29" s="36">
        <v>6639.0729582168333</v>
      </c>
      <c r="D29" s="24">
        <v>308935.58633543394</v>
      </c>
      <c r="E29" s="61">
        <f t="shared" si="6"/>
        <v>2.149015280812715E-2</v>
      </c>
      <c r="G29" s="39">
        <v>1.5638897968218963</v>
      </c>
      <c r="I29" s="32">
        <f t="shared" si="7"/>
        <v>10382.77845971147</v>
      </c>
      <c r="J29" s="63">
        <f t="shared" si="8"/>
        <v>3.3608230708773473E-2</v>
      </c>
    </row>
    <row r="30" spans="1:10" x14ac:dyDescent="0.25">
      <c r="A30" s="60" t="s">
        <v>447</v>
      </c>
      <c r="B30" s="34">
        <f>SUM(B24:B29)</f>
        <v>393.31691041505928</v>
      </c>
      <c r="C30" s="36">
        <f>SUM(C24:C29)</f>
        <v>27821.337328412992</v>
      </c>
      <c r="D30" s="24">
        <f>SUM(D24:D29)</f>
        <v>376679.47048907116</v>
      </c>
      <c r="E30" s="61">
        <f t="shared" si="6"/>
        <v>7.3859446845591203E-2</v>
      </c>
      <c r="I30" s="29">
        <f>SUM(I24:I29)</f>
        <v>43509.505581845238</v>
      </c>
      <c r="J30" s="63">
        <f t="shared" si="8"/>
        <v>0.11550803532072929</v>
      </c>
    </row>
    <row r="31" spans="1:10" x14ac:dyDescent="0.25">
      <c r="B31" s="34"/>
      <c r="C31" s="36"/>
      <c r="D31" s="24"/>
    </row>
    <row r="32" spans="1:10" ht="13" x14ac:dyDescent="0.3">
      <c r="A32" s="16" t="s">
        <v>435</v>
      </c>
      <c r="B32" s="34"/>
      <c r="C32" s="36"/>
      <c r="D32" s="24"/>
    </row>
    <row r="33" spans="1:11" x14ac:dyDescent="0.25">
      <c r="A33" s="59" t="s">
        <v>280</v>
      </c>
      <c r="B33" s="34">
        <v>79.648741204479492</v>
      </c>
      <c r="C33" s="36">
        <v>4148.312328315913</v>
      </c>
      <c r="D33" s="24">
        <v>43073.755223416396</v>
      </c>
      <c r="E33" s="61">
        <f t="shared" ref="E33:E38" si="9">IF(ISERROR(C33/D33),"n/a",C33/D33)</f>
        <v>9.6307190000019915E-2</v>
      </c>
      <c r="G33" s="39">
        <v>1.5638897968218963</v>
      </c>
      <c r="I33" s="32">
        <f>C33*G33</f>
        <v>6487.5033242837408</v>
      </c>
      <c r="J33" s="63">
        <f t="shared" ref="J33:J40" si="10">IF(ISERROR(I33/D33),"n/a",I33/D33)</f>
        <v>0.15061383180161891</v>
      </c>
      <c r="K33" s="17"/>
    </row>
    <row r="34" spans="1:11" x14ac:dyDescent="0.25">
      <c r="A34" s="59" t="s">
        <v>440</v>
      </c>
      <c r="B34" s="34">
        <v>0</v>
      </c>
      <c r="C34" s="36">
        <v>0</v>
      </c>
      <c r="D34" s="24">
        <v>0</v>
      </c>
      <c r="E34" s="61" t="str">
        <f t="shared" si="9"/>
        <v>n/a</v>
      </c>
      <c r="G34" s="39">
        <v>1.5638897968218963</v>
      </c>
      <c r="I34" s="32">
        <f>C34*G34</f>
        <v>0</v>
      </c>
      <c r="J34" s="63" t="str">
        <f t="shared" si="10"/>
        <v>n/a</v>
      </c>
    </row>
    <row r="35" spans="1:11" x14ac:dyDescent="0.25">
      <c r="A35" s="59" t="s">
        <v>441</v>
      </c>
      <c r="B35" s="34">
        <v>0</v>
      </c>
      <c r="C35" s="36">
        <v>0</v>
      </c>
      <c r="D35" s="24">
        <v>0</v>
      </c>
      <c r="E35" s="61" t="str">
        <f t="shared" si="9"/>
        <v>n/a</v>
      </c>
      <c r="G35" s="39">
        <v>1.5638897968218963</v>
      </c>
      <c r="I35" s="32">
        <f>C35*G35</f>
        <v>0</v>
      </c>
      <c r="J35" s="63" t="str">
        <f t="shared" si="10"/>
        <v>n/a</v>
      </c>
    </row>
    <row r="36" spans="1:11" x14ac:dyDescent="0.25">
      <c r="A36" s="59" t="s">
        <v>443</v>
      </c>
      <c r="B36" s="34">
        <v>0</v>
      </c>
      <c r="C36" s="36">
        <v>0</v>
      </c>
      <c r="D36" s="24">
        <v>0</v>
      </c>
      <c r="E36" s="61" t="str">
        <f t="shared" si="9"/>
        <v>n/a</v>
      </c>
      <c r="G36" s="39">
        <v>1.5638897968218963</v>
      </c>
      <c r="I36" s="32">
        <f>C36*G36</f>
        <v>0</v>
      </c>
      <c r="J36" s="63" t="str">
        <f t="shared" si="10"/>
        <v>n/a</v>
      </c>
    </row>
    <row r="37" spans="1:11" x14ac:dyDescent="0.25">
      <c r="A37" s="59" t="s">
        <v>230</v>
      </c>
      <c r="B37" s="34">
        <v>5.8878332757976972</v>
      </c>
      <c r="C37" s="36">
        <v>283.77590039362161</v>
      </c>
      <c r="D37" s="24">
        <v>23288.066626325868</v>
      </c>
      <c r="E37" s="61">
        <f t="shared" si="9"/>
        <v>1.2185464124051788E-2</v>
      </c>
      <c r="G37" s="39">
        <v>1.5638897968218963</v>
      </c>
      <c r="I37" s="32">
        <f>C37*G37</f>
        <v>443.79423520953156</v>
      </c>
      <c r="J37" s="63">
        <f t="shared" si="10"/>
        <v>1.9056723013143855E-2</v>
      </c>
    </row>
    <row r="38" spans="1:11" x14ac:dyDescent="0.25">
      <c r="A38" s="60" t="s">
        <v>448</v>
      </c>
      <c r="B38" s="34">
        <f>SUM(B33:B37)</f>
        <v>85.536574480277196</v>
      </c>
      <c r="C38" s="36">
        <f>SUM(C33:C37)</f>
        <v>4432.0882287095346</v>
      </c>
      <c r="D38" s="24">
        <f>SUM(D33:D37)</f>
        <v>66361.821849742264</v>
      </c>
      <c r="E38" s="61">
        <f t="shared" si="9"/>
        <v>6.6786717199307094E-2</v>
      </c>
      <c r="I38" s="29">
        <f>SUM(I33:I37)</f>
        <v>6931.2975594932723</v>
      </c>
      <c r="J38" s="63">
        <f t="shared" si="10"/>
        <v>0.10444706559122581</v>
      </c>
    </row>
    <row r="39" spans="1:11" x14ac:dyDescent="0.25">
      <c r="B39" s="34"/>
      <c r="C39" s="36"/>
    </row>
    <row r="40" spans="1:11" ht="13" x14ac:dyDescent="0.3">
      <c r="A40" s="16" t="s">
        <v>419</v>
      </c>
      <c r="B40" s="34">
        <f>SUM(B12,B21,B30,B38)</f>
        <v>1017.1328636289496</v>
      </c>
      <c r="C40" s="36">
        <f>SUM(C12,C21,C30,C38)</f>
        <v>59008.576134342453</v>
      </c>
      <c r="D40" s="24">
        <f>SUM(D12,D21,D30,D38)</f>
        <v>3049694.5634242385</v>
      </c>
      <c r="E40" s="61">
        <f>IF(ISERROR(C40/D40),"n/a",C40/D40)</f>
        <v>1.9349011813198376E-2</v>
      </c>
      <c r="I40" s="36">
        <f>SUM(I12,I21,I30,I38)</f>
        <v>92282.910141486209</v>
      </c>
      <c r="J40" s="63">
        <f t="shared" si="10"/>
        <v>3.0259722153247275E-2</v>
      </c>
    </row>
    <row r="41" spans="1:11" hidden="1" x14ac:dyDescent="0.25"/>
    <row r="42" spans="1:11" hidden="1" x14ac:dyDescent="0.25">
      <c r="D42" s="24"/>
    </row>
    <row r="43" spans="1:11" hidden="1" x14ac:dyDescent="0.25">
      <c r="A43" s="20" t="s">
        <v>191</v>
      </c>
      <c r="B43" s="102">
        <v>0</v>
      </c>
      <c r="C43" s="102">
        <v>0</v>
      </c>
      <c r="D43" s="102">
        <v>0</v>
      </c>
      <c r="I43" s="102">
        <f>I40/C40-G37</f>
        <v>0</v>
      </c>
      <c r="J43" s="102">
        <f>J40/E40-G37</f>
        <v>0</v>
      </c>
    </row>
    <row r="44" spans="1:11" hidden="1" x14ac:dyDescent="0.25">
      <c r="B44" s="102">
        <v>0</v>
      </c>
      <c r="C44" s="102">
        <v>0</v>
      </c>
      <c r="D44" s="102">
        <v>0</v>
      </c>
    </row>
    <row r="45" spans="1:11" hidden="1" x14ac:dyDescent="0.25">
      <c r="B45" s="102">
        <v>0</v>
      </c>
      <c r="C45" s="102">
        <v>0</v>
      </c>
      <c r="D45" s="102">
        <v>0</v>
      </c>
    </row>
    <row r="46" spans="1:11" hidden="1" x14ac:dyDescent="0.25">
      <c r="B46" s="102">
        <v>0</v>
      </c>
      <c r="C46" s="102">
        <v>0</v>
      </c>
      <c r="D46" s="102">
        <v>0</v>
      </c>
    </row>
    <row r="47" spans="1:11" hidden="1" x14ac:dyDescent="0.25">
      <c r="B47" s="102">
        <v>0</v>
      </c>
      <c r="C47" s="102">
        <v>0</v>
      </c>
      <c r="D47" s="102">
        <v>0</v>
      </c>
    </row>
    <row r="48" spans="1:11" hidden="1" x14ac:dyDescent="0.25">
      <c r="C48" s="102">
        <v>0</v>
      </c>
      <c r="D48" s="102">
        <v>-2.9103830456733704E-10</v>
      </c>
    </row>
    <row r="49" spans="1:5" x14ac:dyDescent="0.25">
      <c r="A49" s="103"/>
      <c r="B49" s="103"/>
      <c r="C49" s="103"/>
      <c r="D49" s="103"/>
    </row>
    <row r="50" spans="1:5" x14ac:dyDescent="0.25">
      <c r="A50" s="4" t="s">
        <v>235</v>
      </c>
    </row>
    <row r="51" spans="1:5" x14ac:dyDescent="0.25">
      <c r="A51" s="17" t="s">
        <v>800</v>
      </c>
      <c r="E51" s="334"/>
    </row>
    <row r="52" spans="1:5" x14ac:dyDescent="0.25">
      <c r="A52" s="17" t="s">
        <v>795</v>
      </c>
    </row>
    <row r="53" spans="1:5" x14ac:dyDescent="0.25">
      <c r="D53" s="24"/>
    </row>
    <row r="54" spans="1:5" x14ac:dyDescent="0.25">
      <c r="D54" s="24"/>
    </row>
    <row r="55" spans="1:5" x14ac:dyDescent="0.25">
      <c r="D55" s="24"/>
    </row>
    <row r="56" spans="1:5" x14ac:dyDescent="0.25">
      <c r="D56" s="24"/>
    </row>
    <row r="57" spans="1:5" x14ac:dyDescent="0.25">
      <c r="D57" s="24"/>
    </row>
    <row r="58" spans="1:5" x14ac:dyDescent="0.25">
      <c r="D58" s="24"/>
    </row>
    <row r="59" spans="1:5" x14ac:dyDescent="0.25">
      <c r="D59" s="24"/>
    </row>
    <row r="60" spans="1:5" x14ac:dyDescent="0.25">
      <c r="D60" s="24"/>
    </row>
    <row r="61" spans="1:5" x14ac:dyDescent="0.25">
      <c r="D61" s="24"/>
    </row>
    <row r="62" spans="1:5" x14ac:dyDescent="0.25">
      <c r="D62" s="24"/>
    </row>
    <row r="63" spans="1:5" x14ac:dyDescent="0.25">
      <c r="D63" s="24"/>
    </row>
    <row r="64" spans="1:5" x14ac:dyDescent="0.25">
      <c r="D64" s="24"/>
    </row>
    <row r="65" spans="4:4" x14ac:dyDescent="0.25">
      <c r="D65" s="24"/>
    </row>
    <row r="66" spans="4:4" x14ac:dyDescent="0.25">
      <c r="D66" s="24"/>
    </row>
    <row r="67" spans="4:4" x14ac:dyDescent="0.25">
      <c r="D67" s="24"/>
    </row>
    <row r="68" spans="4:4" x14ac:dyDescent="0.25">
      <c r="D68" s="24"/>
    </row>
    <row r="69" spans="4:4" x14ac:dyDescent="0.25">
      <c r="D69" s="24"/>
    </row>
    <row r="70" spans="4:4" x14ac:dyDescent="0.25">
      <c r="D70" s="24"/>
    </row>
    <row r="71" spans="4:4" x14ac:dyDescent="0.25">
      <c r="D71" s="24"/>
    </row>
    <row r="72" spans="4:4" x14ac:dyDescent="0.25">
      <c r="D72" s="24"/>
    </row>
    <row r="73" spans="4:4" x14ac:dyDescent="0.25">
      <c r="D73" s="24"/>
    </row>
    <row r="74" spans="4:4" x14ac:dyDescent="0.25">
      <c r="D74" s="24"/>
    </row>
    <row r="75" spans="4:4" x14ac:dyDescent="0.25">
      <c r="D75" s="24"/>
    </row>
    <row r="76" spans="4:4" x14ac:dyDescent="0.25">
      <c r="D76" s="24"/>
    </row>
    <row r="77" spans="4:4" x14ac:dyDescent="0.25">
      <c r="D77" s="24"/>
    </row>
    <row r="78" spans="4:4" x14ac:dyDescent="0.25">
      <c r="D78" s="24"/>
    </row>
    <row r="79" spans="4:4" x14ac:dyDescent="0.25">
      <c r="D79" s="24"/>
    </row>
    <row r="80" spans="4:4" x14ac:dyDescent="0.25">
      <c r="D80" s="24"/>
    </row>
    <row r="81" spans="4:4" x14ac:dyDescent="0.25">
      <c r="D81" s="24"/>
    </row>
    <row r="82" spans="4:4" x14ac:dyDescent="0.25">
      <c r="D82" s="24"/>
    </row>
    <row r="83" spans="4:4" x14ac:dyDescent="0.25">
      <c r="D83" s="24"/>
    </row>
    <row r="84" spans="4:4" x14ac:dyDescent="0.25">
      <c r="D84" s="24"/>
    </row>
    <row r="85" spans="4:4" x14ac:dyDescent="0.25">
      <c r="D85" s="24"/>
    </row>
    <row r="86" spans="4:4" x14ac:dyDescent="0.25">
      <c r="D86" s="24"/>
    </row>
    <row r="87" spans="4:4" x14ac:dyDescent="0.25">
      <c r="D87" s="24"/>
    </row>
    <row r="88" spans="4:4" x14ac:dyDescent="0.25">
      <c r="D88" s="24"/>
    </row>
    <row r="89" spans="4:4" x14ac:dyDescent="0.25">
      <c r="D89" s="24"/>
    </row>
    <row r="90" spans="4:4" x14ac:dyDescent="0.25">
      <c r="D90" s="24"/>
    </row>
    <row r="91" spans="4:4" x14ac:dyDescent="0.25">
      <c r="D91" s="24"/>
    </row>
    <row r="92" spans="4:4" x14ac:dyDescent="0.25">
      <c r="D92" s="24"/>
    </row>
    <row r="93" spans="4:4" x14ac:dyDescent="0.25">
      <c r="D93" s="24"/>
    </row>
  </sheetData>
  <phoneticPr fontId="0" type="noConversion"/>
  <printOptions horizontalCentered="1"/>
  <pageMargins left="0.75" right="0.75" top="1" bottom="1" header="0.5" footer="0.5"/>
  <pageSetup scale="83" orientation="landscape" r:id="rId1"/>
  <headerFooter alignWithMargins="0">
    <oddFooter>&amp;L&amp;F</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Y85"/>
  <sheetViews>
    <sheetView zoomScale="70" workbookViewId="0"/>
  </sheetViews>
  <sheetFormatPr defaultRowHeight="12.5" x14ac:dyDescent="0.25"/>
  <cols>
    <col min="1" max="1" width="0.90625" customWidth="1"/>
    <col min="2" max="2" width="25.08984375" customWidth="1"/>
    <col min="3" max="3" width="14" customWidth="1"/>
    <col min="4" max="4" width="16.453125" customWidth="1"/>
    <col min="5" max="6" width="10.6328125" customWidth="1"/>
    <col min="7" max="7" width="8.6328125" customWidth="1"/>
    <col min="8" max="9" width="10.6328125" customWidth="1"/>
    <col min="10" max="10" width="8.6328125" customWidth="1"/>
    <col min="11" max="12" width="10.6328125" customWidth="1"/>
    <col min="13" max="13" width="8.6328125" customWidth="1"/>
    <col min="16" max="16" width="10" bestFit="1" customWidth="1"/>
    <col min="22" max="22" width="10.08984375" bestFit="1" customWidth="1"/>
  </cols>
  <sheetData>
    <row r="1" spans="2:25" ht="15.5" x14ac:dyDescent="0.35">
      <c r="B1" s="117" t="s">
        <v>237</v>
      </c>
      <c r="C1" s="117"/>
      <c r="D1" s="117"/>
    </row>
    <row r="2" spans="2:25" ht="16" thickBot="1" x14ac:dyDescent="0.4">
      <c r="B2" s="117" t="s">
        <v>787</v>
      </c>
    </row>
    <row r="3" spans="2:25" ht="15.75" customHeight="1" x14ac:dyDescent="0.35">
      <c r="B3" s="274" t="s">
        <v>528</v>
      </c>
      <c r="C3" s="275"/>
      <c r="D3" s="275"/>
      <c r="E3" s="276"/>
      <c r="F3" s="276"/>
      <c r="G3" s="276"/>
      <c r="H3" s="276"/>
      <c r="I3" s="276"/>
      <c r="J3" s="276"/>
      <c r="K3" s="276"/>
      <c r="L3" s="276"/>
      <c r="M3" s="277"/>
    </row>
    <row r="4" spans="2:25" ht="15.5" x14ac:dyDescent="0.35">
      <c r="B4" s="325"/>
      <c r="C4" s="5"/>
      <c r="D4" s="5"/>
      <c r="E4" s="109" t="s">
        <v>348</v>
      </c>
      <c r="F4" s="295"/>
      <c r="G4" s="295"/>
      <c r="H4" s="295"/>
      <c r="I4" s="295"/>
      <c r="J4" s="295"/>
      <c r="K4" s="295"/>
      <c r="L4" s="295"/>
      <c r="M4" s="297"/>
    </row>
    <row r="5" spans="2:25" ht="13" x14ac:dyDescent="0.3">
      <c r="B5" s="279"/>
      <c r="C5" s="5"/>
      <c r="D5" s="5"/>
      <c r="E5" s="109" t="s">
        <v>334</v>
      </c>
      <c r="F5" s="295"/>
      <c r="G5" s="296"/>
      <c r="H5" s="109" t="s">
        <v>345</v>
      </c>
      <c r="I5" s="295"/>
      <c r="J5" s="296"/>
      <c r="K5" s="109" t="s">
        <v>346</v>
      </c>
      <c r="L5" s="295"/>
      <c r="M5" s="297"/>
    </row>
    <row r="6" spans="2:25" ht="13" x14ac:dyDescent="0.3">
      <c r="B6" s="279"/>
      <c r="C6" s="14"/>
      <c r="D6" s="14"/>
      <c r="E6" s="272" t="s">
        <v>324</v>
      </c>
      <c r="F6" s="293" t="s">
        <v>103</v>
      </c>
      <c r="G6" s="273" t="s">
        <v>329</v>
      </c>
      <c r="H6" s="272" t="s">
        <v>324</v>
      </c>
      <c r="I6" s="293" t="s">
        <v>103</v>
      </c>
      <c r="J6" s="273" t="s">
        <v>329</v>
      </c>
      <c r="K6" s="272" t="s">
        <v>324</v>
      </c>
      <c r="L6" s="293" t="s">
        <v>103</v>
      </c>
      <c r="M6" s="298" t="s">
        <v>329</v>
      </c>
    </row>
    <row r="7" spans="2:25" x14ac:dyDescent="0.25">
      <c r="B7" s="280" t="s">
        <v>321</v>
      </c>
      <c r="C7" s="204" t="s">
        <v>317</v>
      </c>
      <c r="D7" s="204" t="s">
        <v>267</v>
      </c>
      <c r="E7" s="269" t="s">
        <v>325</v>
      </c>
      <c r="F7" s="268" t="s">
        <v>326</v>
      </c>
      <c r="G7" s="294" t="s">
        <v>324</v>
      </c>
      <c r="H7" s="269" t="s">
        <v>325</v>
      </c>
      <c r="I7" s="268" t="s">
        <v>326</v>
      </c>
      <c r="J7" s="294" t="s">
        <v>324</v>
      </c>
      <c r="K7" s="269" t="s">
        <v>325</v>
      </c>
      <c r="L7" s="268" t="s">
        <v>326</v>
      </c>
      <c r="M7" s="299" t="s">
        <v>324</v>
      </c>
    </row>
    <row r="8" spans="2:25" x14ac:dyDescent="0.25">
      <c r="B8" s="283" t="s">
        <v>316</v>
      </c>
      <c r="C8" s="11" t="s">
        <v>322</v>
      </c>
      <c r="D8" s="11" t="s">
        <v>331</v>
      </c>
      <c r="E8" s="303">
        <f>SUM('Table 3.3-PARS Fwd Summary'!F13)</f>
        <v>1790.4603234431472</v>
      </c>
      <c r="F8" s="264"/>
      <c r="G8" s="170"/>
      <c r="H8" s="303">
        <f>SUM('Table 3.6-PARS RTS Summary'!F21,'Table 3.6-PARS RTS Summary'!F31,'Table 3.6-PARS RTS Summary'!F52)</f>
        <v>71382.844195713042</v>
      </c>
      <c r="I8" s="264"/>
      <c r="J8" s="170"/>
      <c r="K8" s="303">
        <f>SUM('Table 3.9-PARS Wst Summary'!F21,'Table 3.9-PARS Wst Summary'!F39)</f>
        <v>21187.972741722901</v>
      </c>
      <c r="L8" s="264"/>
      <c r="M8" s="291"/>
      <c r="P8" s="81"/>
      <c r="S8" s="81"/>
      <c r="V8" s="81"/>
    </row>
    <row r="9" spans="2:25" x14ac:dyDescent="0.25">
      <c r="B9" s="283" t="s">
        <v>318</v>
      </c>
      <c r="C9" s="11" t="s">
        <v>323</v>
      </c>
      <c r="D9" s="11" t="s">
        <v>347</v>
      </c>
      <c r="E9" s="304">
        <f>SUM('Table 3.3-PARS Fwd Summary'!F14)</f>
        <v>187.67733623012768</v>
      </c>
      <c r="G9" s="179"/>
      <c r="H9" s="304">
        <f>SUM('Table 3.6-PARS RTS Summary'!F9,'Table 3.6-PARS RTS Summary'!F22,'Table 3.6-PARS RTS Summary'!F32,'Table 3.6-PARS RTS Summary'!F37,'Table 3.6-PARS RTS Summary'!F53)</f>
        <v>15040.483282360381</v>
      </c>
      <c r="J9" s="179"/>
      <c r="K9" s="304">
        <f>SUM('Table 3.9-PARS Wst Summary'!F9,'Table 3.9-PARS Wst Summary'!F22,'Table 3.9-PARS Wst Summary'!F40)</f>
        <v>2603.4404621226618</v>
      </c>
      <c r="M9" s="278"/>
      <c r="P9" s="81"/>
      <c r="S9" s="81"/>
      <c r="V9" s="81"/>
    </row>
    <row r="10" spans="2:25" ht="12.75" customHeight="1" x14ac:dyDescent="0.25">
      <c r="B10" s="283" t="s">
        <v>319</v>
      </c>
      <c r="C10" s="11" t="s">
        <v>323</v>
      </c>
      <c r="D10" s="11" t="s">
        <v>349</v>
      </c>
      <c r="E10" s="304">
        <f>SUM('Table 3.3-PARS Fwd Summary'!F9,'Table 3.3-PARS Fwd Summary'!F19)</f>
        <v>6753.2533202814357</v>
      </c>
      <c r="G10" s="179"/>
      <c r="H10" s="304">
        <f>SUM('Table 3.6-PARS RTS Summary'!F17,'Table 3.6-PARS RTS Summary'!F27,'Table 3.6-PARS RTS Summary'!F48,'Table 3.6-PARS RTS Summary'!F58)</f>
        <v>3420.0178494431843</v>
      </c>
      <c r="J10" s="179"/>
      <c r="K10" s="304">
        <f>SUM('Table 3.9-PARS Wst Summary'!F17,'Table 3.9-PARS Wst Summary'!F27,'Table 3.9-PARS Wst Summary'!F35,'Table 3.9-PARS Wst Summary'!F45)</f>
        <v>773.6658903225607</v>
      </c>
      <c r="M10" s="278"/>
      <c r="P10" s="81"/>
      <c r="S10" s="81"/>
      <c r="V10" s="81"/>
    </row>
    <row r="11" spans="2:25" ht="12.75" customHeight="1" x14ac:dyDescent="0.25">
      <c r="B11" s="281" t="s">
        <v>459</v>
      </c>
      <c r="C11" s="11" t="s">
        <v>332</v>
      </c>
      <c r="D11" s="12" t="s">
        <v>531</v>
      </c>
      <c r="E11" s="304">
        <f>SUM('Table 3.3-PARS Fwd Summary'!F5,'Table 3.3-PARS Fwd Summary'!F15)</f>
        <v>31774.657654754203</v>
      </c>
      <c r="G11" s="179"/>
      <c r="H11" s="304">
        <f>SUM('Table 3.6-PARS RTS Summary'!F5,'Table 3.6-PARS RTS Summary'!F13,'Table 3.6-PARS RTS Summary'!F23,'Table 3.6-PARS RTS Summary'!F33,'Table 3.6-PARS RTS Summary'!F44,'Table 3.6-PARS RTS Summary'!F54)</f>
        <v>-6969.0358682109709</v>
      </c>
      <c r="J11" s="179"/>
      <c r="K11" s="304">
        <f>SUM('Table 3.9-PARS Wst Summary'!F5,'Table 3.9-PARS Wst Summary'!F13,'Table 3.9-PARS Wst Summary'!F23,'Table 3.9-PARS Wst Summary'!F31,'Table 3.9-PARS Wst Summary'!F41)</f>
        <v>48848.390938035438</v>
      </c>
      <c r="M11" s="278"/>
      <c r="P11" s="81"/>
      <c r="S11" s="81"/>
      <c r="V11" s="81"/>
    </row>
    <row r="12" spans="2:25" ht="12.75" customHeight="1" x14ac:dyDescent="0.25">
      <c r="B12" s="281" t="s">
        <v>530</v>
      </c>
      <c r="C12" s="11" t="s">
        <v>323</v>
      </c>
      <c r="D12" s="11" t="s">
        <v>46</v>
      </c>
      <c r="E12" s="304">
        <f>SUM('Table 3.3-PARS Fwd Summary'!F7:F8,'Table 3.3-PARS Fwd Summary'!F17:F18)</f>
        <v>27406.09118379388</v>
      </c>
      <c r="G12" s="179"/>
      <c r="H12" s="304">
        <f>SUM('Table 3.6-PARS RTS Summary'!F7:F8,'Table 3.6-PARS RTS Summary'!F15:F16,'Table 3.6-PARS RTS Summary'!F25:F26,'Table 3.6-PARS RTS Summary'!F35:F36,'Table 3.6-PARS RTS Summary'!F46:F47,'Table 3.6-PARS RTS Summary'!F56:F57)</f>
        <v>5311.651664818075</v>
      </c>
      <c r="J12" s="179"/>
      <c r="K12" s="304">
        <f>SUM('Table 3.9-PARS Wst Summary'!F7:F8,'Table 3.9-PARS Wst Summary'!F15:F16,'Table 3.9-PARS Wst Summary'!F25:F26,'Table 3.9-PARS Wst Summary'!F33:F34,'Table 3.9-PARS Wst Summary'!F43:F44)</f>
        <v>41299.061668897382</v>
      </c>
      <c r="M12" s="278"/>
      <c r="P12" s="81"/>
      <c r="S12" s="81"/>
      <c r="V12" s="81"/>
    </row>
    <row r="13" spans="2:25" x14ac:dyDescent="0.25">
      <c r="B13" s="281" t="s">
        <v>335</v>
      </c>
      <c r="C13" s="11" t="s">
        <v>332</v>
      </c>
      <c r="D13" s="11" t="s">
        <v>330</v>
      </c>
      <c r="E13" s="304">
        <f>'Table 3.3-PARS Fwd Summary'!F23</f>
        <v>63425.976748572299</v>
      </c>
      <c r="G13" s="416"/>
      <c r="H13" s="304">
        <f>'Table 3.6-PARS RTS Summary'!F62</f>
        <v>525523.76666085911</v>
      </c>
      <c r="J13" s="416"/>
      <c r="K13" s="304">
        <v>0</v>
      </c>
      <c r="M13" s="278"/>
      <c r="O13" s="415"/>
      <c r="P13" s="81"/>
      <c r="R13" s="99"/>
      <c r="S13" s="81"/>
      <c r="U13" s="99"/>
      <c r="V13" s="81"/>
    </row>
    <row r="14" spans="2:25" x14ac:dyDescent="0.25">
      <c r="B14" s="284" t="s">
        <v>336</v>
      </c>
      <c r="C14" s="238" t="s">
        <v>322</v>
      </c>
      <c r="D14" s="267" t="s">
        <v>171</v>
      </c>
      <c r="E14" s="305">
        <f>SUM('Table 3.3-PARS Fwd Summary'!F24:F26)</f>
        <v>0</v>
      </c>
      <c r="F14" s="204"/>
      <c r="G14" s="271"/>
      <c r="H14" s="305">
        <f>SUM('Table 3.6-PARS RTS Summary'!F63:F65)</f>
        <v>5803.1515897199379</v>
      </c>
      <c r="I14" s="204"/>
      <c r="J14" s="271"/>
      <c r="K14" s="305">
        <v>0</v>
      </c>
      <c r="L14" s="204"/>
      <c r="M14" s="288"/>
      <c r="O14" s="81"/>
      <c r="P14" s="81"/>
      <c r="S14" s="81"/>
      <c r="V14" s="81"/>
    </row>
    <row r="15" spans="2:25" ht="13.5" thickBot="1" x14ac:dyDescent="0.35">
      <c r="B15" s="285"/>
      <c r="C15" s="286"/>
      <c r="D15" s="292" t="s">
        <v>277</v>
      </c>
      <c r="E15" s="307">
        <f>SUM(E8:E14)</f>
        <v>131338.11656707508</v>
      </c>
      <c r="F15" s="308">
        <f>'Table 3.3-PARS Fwd Summary'!B29</f>
        <v>489544.69499999995</v>
      </c>
      <c r="G15" s="300">
        <f>E15/F15</f>
        <v>0.26828626253844928</v>
      </c>
      <c r="H15" s="309">
        <f>SUM(H8:H14)</f>
        <v>619512.87937470281</v>
      </c>
      <c r="I15" s="308">
        <f>'Table 3.6-PARS RTS Summary'!B68</f>
        <v>1182622.4850000001</v>
      </c>
      <c r="J15" s="300">
        <f>H15/I15</f>
        <v>0.52384669430219966</v>
      </c>
      <c r="K15" s="309">
        <f>SUM(K8:K14)</f>
        <v>114712.53170110095</v>
      </c>
      <c r="L15" s="308">
        <f>'Table 3.9-PARS Wst Summary'!B48</f>
        <v>879698.1939999999</v>
      </c>
      <c r="M15" s="301">
        <f>K15/L15</f>
        <v>0.13039987177818504</v>
      </c>
      <c r="O15" s="61"/>
      <c r="P15" s="29"/>
      <c r="Q15" s="24"/>
      <c r="R15" s="130"/>
      <c r="S15" s="29"/>
      <c r="T15" s="24"/>
      <c r="U15" s="130"/>
      <c r="V15" s="29"/>
      <c r="W15" s="24"/>
      <c r="X15" s="130"/>
      <c r="Y15" s="167"/>
    </row>
    <row r="16" spans="2:25" ht="5.15" customHeight="1" thickBot="1" x14ac:dyDescent="0.35">
      <c r="B16" s="392"/>
      <c r="C16" s="276"/>
      <c r="D16" s="302"/>
      <c r="E16" s="275"/>
      <c r="F16" s="260"/>
      <c r="G16" s="130"/>
      <c r="H16" s="5"/>
      <c r="I16" s="260"/>
      <c r="J16" s="130"/>
      <c r="K16" s="5"/>
      <c r="L16" s="260"/>
      <c r="M16" s="393"/>
      <c r="P16" s="5"/>
      <c r="Q16" s="260"/>
      <c r="R16" s="130"/>
      <c r="S16" s="5"/>
      <c r="T16" s="260"/>
      <c r="U16" s="130"/>
      <c r="V16" s="5"/>
      <c r="W16" s="260"/>
      <c r="X16" s="130"/>
    </row>
    <row r="17" spans="2:25" ht="15.75" customHeight="1" x14ac:dyDescent="0.35">
      <c r="B17" s="274" t="s">
        <v>529</v>
      </c>
      <c r="C17" s="275"/>
      <c r="D17" s="275"/>
      <c r="E17" s="276"/>
      <c r="F17" s="276"/>
      <c r="G17" s="276"/>
      <c r="H17" s="276"/>
      <c r="I17" s="276"/>
      <c r="J17" s="276"/>
      <c r="K17" s="276"/>
      <c r="L17" s="276"/>
      <c r="M17" s="277"/>
    </row>
    <row r="18" spans="2:25" ht="12.75" customHeight="1" x14ac:dyDescent="0.35">
      <c r="B18" s="325"/>
      <c r="C18" s="5"/>
      <c r="D18" s="5"/>
      <c r="E18" s="109" t="s">
        <v>348</v>
      </c>
      <c r="F18" s="295"/>
      <c r="G18" s="295"/>
      <c r="H18" s="295"/>
      <c r="I18" s="295"/>
      <c r="J18" s="295"/>
      <c r="K18" s="295"/>
      <c r="L18" s="295"/>
      <c r="M18" s="297"/>
      <c r="P18" s="15"/>
      <c r="Q18" s="77"/>
      <c r="R18" s="77"/>
      <c r="S18" s="77"/>
      <c r="T18" s="77"/>
      <c r="U18" s="77"/>
      <c r="V18" s="77"/>
      <c r="W18" s="77"/>
      <c r="X18" s="77"/>
    </row>
    <row r="19" spans="2:25" ht="12.75" customHeight="1" x14ac:dyDescent="0.3">
      <c r="B19" s="279"/>
      <c r="C19" s="5"/>
      <c r="D19" s="5"/>
      <c r="E19" s="109" t="s">
        <v>564</v>
      </c>
      <c r="F19" s="295"/>
      <c r="G19" s="296"/>
      <c r="H19" s="109" t="s">
        <v>565</v>
      </c>
      <c r="I19" s="295"/>
      <c r="J19" s="296"/>
      <c r="K19" s="109" t="s">
        <v>566</v>
      </c>
      <c r="L19" s="295"/>
      <c r="M19" s="297"/>
      <c r="P19" s="15"/>
      <c r="Q19" s="77"/>
      <c r="R19" s="77"/>
      <c r="S19" s="15"/>
      <c r="T19" s="77"/>
      <c r="U19" s="77"/>
      <c r="V19" s="15"/>
      <c r="W19" s="77"/>
      <c r="X19" s="77"/>
    </row>
    <row r="20" spans="2:25" ht="12.75" customHeight="1" x14ac:dyDescent="0.3">
      <c r="B20" s="279"/>
      <c r="C20" s="14"/>
      <c r="D20" s="14"/>
      <c r="E20" s="272" t="s">
        <v>324</v>
      </c>
      <c r="F20" s="293" t="s">
        <v>103</v>
      </c>
      <c r="G20" s="273" t="s">
        <v>329</v>
      </c>
      <c r="H20" s="272" t="s">
        <v>324</v>
      </c>
      <c r="I20" s="293" t="s">
        <v>103</v>
      </c>
      <c r="J20" s="273" t="s">
        <v>329</v>
      </c>
      <c r="K20" s="272" t="s">
        <v>324</v>
      </c>
      <c r="L20" s="293" t="s">
        <v>103</v>
      </c>
      <c r="M20" s="298" t="s">
        <v>329</v>
      </c>
      <c r="P20" s="13"/>
      <c r="Q20" s="13"/>
      <c r="R20" s="13"/>
      <c r="S20" s="13"/>
      <c r="T20" s="13"/>
      <c r="U20" s="13"/>
      <c r="V20" s="13"/>
      <c r="W20" s="13"/>
      <c r="X20" s="13"/>
    </row>
    <row r="21" spans="2:25" ht="12.75" customHeight="1" x14ac:dyDescent="0.25">
      <c r="B21" s="280" t="s">
        <v>321</v>
      </c>
      <c r="C21" s="204" t="s">
        <v>317</v>
      </c>
      <c r="D21" s="204" t="s">
        <v>267</v>
      </c>
      <c r="E21" s="269" t="s">
        <v>325</v>
      </c>
      <c r="F21" s="268" t="s">
        <v>326</v>
      </c>
      <c r="G21" s="294" t="s">
        <v>324</v>
      </c>
      <c r="H21" s="269" t="s">
        <v>325</v>
      </c>
      <c r="I21" s="268" t="s">
        <v>326</v>
      </c>
      <c r="J21" s="294" t="s">
        <v>324</v>
      </c>
      <c r="K21" s="269" t="s">
        <v>325</v>
      </c>
      <c r="L21" s="268" t="s">
        <v>326</v>
      </c>
      <c r="M21" s="299" t="s">
        <v>324</v>
      </c>
      <c r="P21" s="372"/>
      <c r="Q21" s="372"/>
      <c r="R21" s="13"/>
      <c r="S21" s="372"/>
      <c r="T21" s="372"/>
      <c r="U21" s="13"/>
      <c r="V21" s="372"/>
      <c r="W21" s="372"/>
      <c r="X21" s="13"/>
    </row>
    <row r="22" spans="2:25" ht="12.75" customHeight="1" x14ac:dyDescent="0.25">
      <c r="B22" s="283" t="s">
        <v>316</v>
      </c>
      <c r="C22" s="11" t="s">
        <v>322</v>
      </c>
      <c r="D22" s="11" t="s">
        <v>331</v>
      </c>
      <c r="E22" s="303">
        <f>SUM('Table 3.4-NonPARS Fwd Summary'!F5,'Table 3.4-NonPARS Fwd Summary'!F11)</f>
        <v>6122.906282613626</v>
      </c>
      <c r="F22" s="264"/>
      <c r="G22" s="170"/>
      <c r="H22" s="303">
        <f>SUM('Table 3.7-NonPARS RTS Summary'!F5,'Table 3.7-NonPARS RTS Summary'!F11,'Table 3.7-NonPARS RTS Summary'!F17)</f>
        <v>8124.4277204507334</v>
      </c>
      <c r="I22" s="264"/>
      <c r="J22" s="170"/>
      <c r="K22" s="303">
        <f>SUM('Table 3.10-NonPARS Wst Summary'!F5,'Table 3.10-NonPARS Wst Summary'!F10,'Table 3.10-NonPARS Wst Summary'!F15)</f>
        <v>64555.566320870195</v>
      </c>
      <c r="L22" s="264"/>
      <c r="M22" s="291"/>
      <c r="P22" s="81"/>
      <c r="S22" s="81"/>
      <c r="V22" s="81"/>
    </row>
    <row r="23" spans="2:25" ht="12.75" customHeight="1" x14ac:dyDescent="0.25">
      <c r="B23" s="283" t="s">
        <v>318</v>
      </c>
      <c r="C23" s="11" t="s">
        <v>323</v>
      </c>
      <c r="D23" s="11" t="s">
        <v>347</v>
      </c>
      <c r="E23" s="304">
        <f>SUM('Table 3.4-NonPARS Fwd Summary'!F6:F7)</f>
        <v>5400.9410514695774</v>
      </c>
      <c r="G23" s="179"/>
      <c r="H23" s="304">
        <f>SUM('Table 3.7-NonPARS RTS Summary'!F6:F7,'Table 3.7-NonPARS RTS Summary'!F18)</f>
        <v>18906.339093023369</v>
      </c>
      <c r="J23" s="179"/>
      <c r="K23" s="304">
        <f>SUM('Table 3.10-NonPARS Wst Summary'!F6,'Table 3.10-NonPARS Wst Summary'!F16)</f>
        <v>35209.669145339125</v>
      </c>
      <c r="M23" s="278"/>
      <c r="P23" s="81"/>
      <c r="S23" s="81"/>
      <c r="V23" s="81"/>
    </row>
    <row r="24" spans="2:25" ht="12.75" customHeight="1" x14ac:dyDescent="0.25">
      <c r="B24" s="283" t="s">
        <v>319</v>
      </c>
      <c r="C24" s="11" t="s">
        <v>323</v>
      </c>
      <c r="D24" s="11" t="s">
        <v>349</v>
      </c>
      <c r="E24" s="304">
        <f>SUM('Table 3.4-NonPARS Fwd Summary'!F12:F13)</f>
        <v>7393.0429386962223</v>
      </c>
      <c r="G24" s="179"/>
      <c r="H24" s="304">
        <f>SUM('Table 3.7-NonPARS RTS Summary'!F12:F13,'Table 3.7-NonPARS RTS Summary'!F19)</f>
        <v>11198.453286149537</v>
      </c>
      <c r="J24" s="179"/>
      <c r="K24" s="304">
        <f>SUM('Table 3.10-NonPARS Wst Summary'!F11,'Table 3.10-NonPARS Wst Summary'!F17)</f>
        <v>13339.386427079766</v>
      </c>
      <c r="M24" s="278"/>
      <c r="P24" s="81"/>
      <c r="S24" s="81"/>
      <c r="V24" s="81"/>
    </row>
    <row r="25" spans="2:25" ht="12.75" customHeight="1" x14ac:dyDescent="0.25">
      <c r="B25" s="281" t="s">
        <v>335</v>
      </c>
      <c r="C25" s="11" t="s">
        <v>332</v>
      </c>
      <c r="D25" s="11" t="s">
        <v>330</v>
      </c>
      <c r="E25" s="304">
        <f>'Table 3.4-NonPARS Fwd Summary'!F17</f>
        <v>25868.767320129231</v>
      </c>
      <c r="G25" s="416"/>
      <c r="H25" s="304">
        <f>'Table 3.7-NonPARS RTS Summary'!F23</f>
        <v>223182.62095867767</v>
      </c>
      <c r="J25" s="416"/>
      <c r="K25" s="304">
        <v>0</v>
      </c>
      <c r="M25" s="278"/>
      <c r="O25" s="415"/>
      <c r="P25" s="81"/>
      <c r="R25" s="99"/>
      <c r="S25" s="81"/>
      <c r="U25" s="99"/>
      <c r="V25" s="81"/>
    </row>
    <row r="26" spans="2:25" ht="12.75" customHeight="1" x14ac:dyDescent="0.25">
      <c r="B26" s="284" t="s">
        <v>336</v>
      </c>
      <c r="C26" s="238" t="s">
        <v>322</v>
      </c>
      <c r="D26" s="267" t="s">
        <v>171</v>
      </c>
      <c r="E26" s="305">
        <f>SUM('Table 3.4-NonPARS Fwd Summary'!F18:F21)</f>
        <v>7888.7664407812008</v>
      </c>
      <c r="F26" s="204"/>
      <c r="G26" s="271"/>
      <c r="H26" s="305">
        <f>SUM('Table 3.7-NonPARS RTS Summary'!F24:F26)</f>
        <v>32786.822167552207</v>
      </c>
      <c r="I26" s="204"/>
      <c r="J26" s="271"/>
      <c r="K26" s="305">
        <v>0</v>
      </c>
      <c r="L26" s="204"/>
      <c r="M26" s="288"/>
      <c r="O26" s="81"/>
      <c r="P26" s="81"/>
      <c r="S26" s="81"/>
      <c r="V26" s="81"/>
    </row>
    <row r="27" spans="2:25" ht="12.75" customHeight="1" thickBot="1" x14ac:dyDescent="0.35">
      <c r="B27" s="285"/>
      <c r="C27" s="286"/>
      <c r="D27" s="292" t="s">
        <v>277</v>
      </c>
      <c r="E27" s="309">
        <f>SUM(E22:E26)</f>
        <v>52674.424033689851</v>
      </c>
      <c r="F27" s="308">
        <f>'Table 3.4-NonPARS Fwd Summary'!B24</f>
        <v>58606.656070739496</v>
      </c>
      <c r="G27" s="300">
        <f>E27/F27</f>
        <v>0.89877886856589606</v>
      </c>
      <c r="H27" s="309">
        <f>SUM(H22:H26)</f>
        <v>294198.66322585352</v>
      </c>
      <c r="I27" s="308">
        <f>'Table 3.7-NonPARS RTS Summary'!B29</f>
        <v>78970.184576329339</v>
      </c>
      <c r="J27" s="300">
        <f>H27/I27</f>
        <v>3.7254397315165595</v>
      </c>
      <c r="K27" s="309">
        <f>SUM(K22:K26)</f>
        <v>113104.62189328909</v>
      </c>
      <c r="L27" s="308">
        <f>'Table 3.10-NonPARS Wst Summary'!B20</f>
        <v>1681407.8138100435</v>
      </c>
      <c r="M27" s="301">
        <f>K27/L27</f>
        <v>6.7267810321991903E-2</v>
      </c>
      <c r="O27" s="61"/>
      <c r="P27" s="29"/>
      <c r="Q27" s="24"/>
      <c r="R27" s="130"/>
      <c r="S27" s="29"/>
      <c r="T27" s="24"/>
      <c r="U27" s="130"/>
      <c r="V27" s="29"/>
      <c r="W27" s="24"/>
      <c r="X27" s="130"/>
      <c r="Y27" s="167"/>
    </row>
    <row r="28" spans="2:25" ht="5.15" customHeight="1" thickBot="1" x14ac:dyDescent="0.35">
      <c r="B28" s="282"/>
      <c r="D28" s="242"/>
      <c r="E28" s="5"/>
      <c r="F28" s="260"/>
      <c r="G28" s="130"/>
      <c r="H28" s="5"/>
      <c r="I28" s="260"/>
      <c r="J28" s="130"/>
      <c r="K28" s="5"/>
      <c r="L28" s="260"/>
      <c r="M28" s="393"/>
      <c r="P28" s="5"/>
      <c r="Q28" s="260"/>
      <c r="R28" s="130"/>
      <c r="S28" s="5"/>
      <c r="T28" s="260"/>
      <c r="U28" s="130"/>
      <c r="V28" s="5"/>
      <c r="W28" s="260"/>
      <c r="X28" s="130"/>
    </row>
    <row r="29" spans="2:25" ht="15.75" customHeight="1" x14ac:dyDescent="0.35">
      <c r="B29" s="274" t="s">
        <v>532</v>
      </c>
      <c r="C29" s="275"/>
      <c r="D29" s="275"/>
      <c r="E29" s="276"/>
      <c r="F29" s="276"/>
      <c r="G29" s="276"/>
      <c r="H29" s="276"/>
      <c r="I29" s="276"/>
      <c r="J29" s="276"/>
      <c r="K29" s="276"/>
      <c r="L29" s="276"/>
      <c r="M29" s="277"/>
    </row>
    <row r="30" spans="2:25" ht="12.75" customHeight="1" x14ac:dyDescent="0.35">
      <c r="B30" s="325"/>
      <c r="C30" s="5"/>
      <c r="D30" s="5"/>
      <c r="E30" s="109" t="s">
        <v>348</v>
      </c>
      <c r="F30" s="295"/>
      <c r="G30" s="295"/>
      <c r="H30" s="295"/>
      <c r="I30" s="295"/>
      <c r="J30" s="295"/>
      <c r="K30" s="295"/>
      <c r="L30" s="295"/>
      <c r="M30" s="297"/>
      <c r="P30" s="15"/>
      <c r="Q30" s="77"/>
      <c r="R30" s="77"/>
      <c r="S30" s="77"/>
      <c r="T30" s="77"/>
      <c r="U30" s="77"/>
      <c r="V30" s="77"/>
      <c r="W30" s="77"/>
      <c r="X30" s="77"/>
    </row>
    <row r="31" spans="2:25" ht="12.75" customHeight="1" x14ac:dyDescent="0.3">
      <c r="B31" s="279"/>
      <c r="C31" s="5"/>
      <c r="D31" s="5"/>
      <c r="E31" s="109" t="s">
        <v>278</v>
      </c>
      <c r="F31" s="295"/>
      <c r="G31" s="296"/>
      <c r="H31" s="109" t="s">
        <v>280</v>
      </c>
      <c r="I31" s="295"/>
      <c r="J31" s="296"/>
      <c r="K31" s="109" t="s">
        <v>279</v>
      </c>
      <c r="L31" s="295"/>
      <c r="M31" s="297"/>
      <c r="P31" s="15"/>
      <c r="Q31" s="77"/>
      <c r="R31" s="77"/>
      <c r="S31" s="15"/>
      <c r="T31" s="77"/>
      <c r="U31" s="77"/>
      <c r="V31" s="15"/>
      <c r="W31" s="77"/>
      <c r="X31" s="77"/>
    </row>
    <row r="32" spans="2:25" ht="12.75" customHeight="1" x14ac:dyDescent="0.3">
      <c r="B32" s="279"/>
      <c r="C32" s="14"/>
      <c r="D32" s="14"/>
      <c r="E32" s="272" t="s">
        <v>324</v>
      </c>
      <c r="F32" s="293" t="s">
        <v>103</v>
      </c>
      <c r="G32" s="273" t="s">
        <v>329</v>
      </c>
      <c r="H32" s="272" t="s">
        <v>324</v>
      </c>
      <c r="I32" s="293" t="s">
        <v>103</v>
      </c>
      <c r="J32" s="273" t="s">
        <v>329</v>
      </c>
      <c r="K32" s="272" t="s">
        <v>324</v>
      </c>
      <c r="L32" s="293" t="s">
        <v>103</v>
      </c>
      <c r="M32" s="298" t="s">
        <v>329</v>
      </c>
      <c r="P32" s="13"/>
      <c r="Q32" s="13"/>
      <c r="R32" s="13"/>
      <c r="S32" s="13"/>
      <c r="T32" s="13"/>
      <c r="U32" s="13"/>
      <c r="V32" s="13"/>
      <c r="W32" s="13"/>
      <c r="X32" s="13"/>
    </row>
    <row r="33" spans="2:25" ht="12.75" customHeight="1" x14ac:dyDescent="0.25">
      <c r="B33" s="280" t="s">
        <v>321</v>
      </c>
      <c r="C33" s="204" t="s">
        <v>317</v>
      </c>
      <c r="D33" s="204" t="s">
        <v>267</v>
      </c>
      <c r="E33" s="269" t="s">
        <v>325</v>
      </c>
      <c r="F33" s="268" t="s">
        <v>326</v>
      </c>
      <c r="G33" s="294" t="s">
        <v>324</v>
      </c>
      <c r="H33" s="269" t="s">
        <v>325</v>
      </c>
      <c r="I33" s="268" t="s">
        <v>326</v>
      </c>
      <c r="J33" s="294" t="s">
        <v>324</v>
      </c>
      <c r="K33" s="269" t="s">
        <v>325</v>
      </c>
      <c r="L33" s="268" t="s">
        <v>326</v>
      </c>
      <c r="M33" s="299" t="s">
        <v>324</v>
      </c>
      <c r="P33" s="372"/>
      <c r="Q33" s="372"/>
      <c r="R33" s="13"/>
      <c r="S33" s="372"/>
      <c r="T33" s="372"/>
      <c r="U33" s="13"/>
      <c r="V33" s="372"/>
      <c r="W33" s="372"/>
      <c r="X33" s="13"/>
    </row>
    <row r="34" spans="2:25" ht="12.75" customHeight="1" x14ac:dyDescent="0.25">
      <c r="B34" s="283" t="s">
        <v>316</v>
      </c>
      <c r="C34" s="11" t="s">
        <v>322</v>
      </c>
      <c r="D34" s="11" t="s">
        <v>331</v>
      </c>
      <c r="E34" s="303">
        <f>E8+E22</f>
        <v>7913.366606056773</v>
      </c>
      <c r="F34" s="264"/>
      <c r="G34" s="170"/>
      <c r="H34" s="303">
        <f>H8+H22</f>
        <v>79507.27191616378</v>
      </c>
      <c r="I34" s="264"/>
      <c r="J34" s="170"/>
      <c r="K34" s="303">
        <f>K8+K22</f>
        <v>85743.539062593103</v>
      </c>
      <c r="L34" s="264"/>
      <c r="M34" s="291"/>
      <c r="P34" s="81"/>
      <c r="S34" s="81"/>
      <c r="V34" s="81"/>
    </row>
    <row r="35" spans="2:25" ht="12.75" customHeight="1" x14ac:dyDescent="0.25">
      <c r="B35" s="283" t="s">
        <v>318</v>
      </c>
      <c r="C35" s="11" t="s">
        <v>323</v>
      </c>
      <c r="D35" s="11" t="s">
        <v>347</v>
      </c>
      <c r="E35" s="304">
        <f>E9+E23</f>
        <v>5588.6183876997047</v>
      </c>
      <c r="G35" s="179"/>
      <c r="H35" s="304">
        <f>H9+H23</f>
        <v>33946.822375383752</v>
      </c>
      <c r="J35" s="179"/>
      <c r="K35" s="304">
        <f>K9+K23</f>
        <v>37813.109607461789</v>
      </c>
      <c r="M35" s="278"/>
      <c r="P35" s="81"/>
      <c r="S35" s="81"/>
      <c r="V35" s="81"/>
    </row>
    <row r="36" spans="2:25" ht="12.75" customHeight="1" x14ac:dyDescent="0.25">
      <c r="B36" s="283" t="s">
        <v>319</v>
      </c>
      <c r="C36" s="11" t="s">
        <v>323</v>
      </c>
      <c r="D36" s="11" t="s">
        <v>349</v>
      </c>
      <c r="E36" s="304">
        <f>E10+E24</f>
        <v>14146.296258977658</v>
      </c>
      <c r="G36" s="179"/>
      <c r="H36" s="304">
        <f>H10+H24</f>
        <v>14618.471135592721</v>
      </c>
      <c r="J36" s="179"/>
      <c r="K36" s="304">
        <f>K10+K24</f>
        <v>14113.052317402326</v>
      </c>
      <c r="M36" s="278"/>
      <c r="P36" s="81"/>
      <c r="S36" s="81"/>
      <c r="V36" s="81"/>
    </row>
    <row r="37" spans="2:25" ht="12.75" customHeight="1" x14ac:dyDescent="0.25">
      <c r="B37" s="281" t="s">
        <v>459</v>
      </c>
      <c r="C37" s="11" t="s">
        <v>332</v>
      </c>
      <c r="D37" s="12" t="s">
        <v>531</v>
      </c>
      <c r="E37" s="304">
        <f>E11</f>
        <v>31774.657654754203</v>
      </c>
      <c r="G37" s="179"/>
      <c r="H37" s="304">
        <f>H11</f>
        <v>-6969.0358682109709</v>
      </c>
      <c r="J37" s="179"/>
      <c r="K37" s="304">
        <f>K11</f>
        <v>48848.390938035438</v>
      </c>
      <c r="M37" s="278"/>
      <c r="O37" s="77"/>
      <c r="P37" s="81"/>
      <c r="S37" s="81"/>
      <c r="V37" s="81"/>
    </row>
    <row r="38" spans="2:25" ht="12.75" customHeight="1" x14ac:dyDescent="0.25">
      <c r="B38" s="281" t="s">
        <v>530</v>
      </c>
      <c r="C38" s="11" t="s">
        <v>323</v>
      </c>
      <c r="D38" s="11" t="s">
        <v>46</v>
      </c>
      <c r="E38" s="304">
        <f>E12</f>
        <v>27406.09118379388</v>
      </c>
      <c r="G38" s="179"/>
      <c r="H38" s="304">
        <f>H12</f>
        <v>5311.651664818075</v>
      </c>
      <c r="J38" s="179"/>
      <c r="K38" s="304">
        <f>K12</f>
        <v>41299.061668897382</v>
      </c>
      <c r="M38" s="278"/>
      <c r="P38" s="81"/>
      <c r="S38" s="81"/>
      <c r="V38" s="81"/>
    </row>
    <row r="39" spans="2:25" ht="12.75" customHeight="1" x14ac:dyDescent="0.25">
      <c r="B39" s="281" t="s">
        <v>335</v>
      </c>
      <c r="C39" s="11" t="s">
        <v>332</v>
      </c>
      <c r="D39" s="11" t="s">
        <v>330</v>
      </c>
      <c r="E39" s="304">
        <f>E13+E25</f>
        <v>89294.744068701533</v>
      </c>
      <c r="G39" s="416"/>
      <c r="H39" s="304">
        <f>H13+H25</f>
        <v>748706.38761953684</v>
      </c>
      <c r="J39" s="416"/>
      <c r="K39" s="304">
        <f>K13+K25</f>
        <v>0</v>
      </c>
      <c r="M39" s="278"/>
      <c r="O39" s="415"/>
      <c r="P39" s="81"/>
      <c r="R39" s="99"/>
      <c r="S39" s="81"/>
      <c r="U39" s="99"/>
      <c r="V39" s="81"/>
    </row>
    <row r="40" spans="2:25" ht="12.75" customHeight="1" x14ac:dyDescent="0.25">
      <c r="B40" s="284" t="s">
        <v>336</v>
      </c>
      <c r="C40" s="238" t="s">
        <v>322</v>
      </c>
      <c r="D40" s="267" t="s">
        <v>171</v>
      </c>
      <c r="E40" s="305">
        <f>E14+E26</f>
        <v>7888.7664407812008</v>
      </c>
      <c r="F40" s="204"/>
      <c r="G40" s="271"/>
      <c r="H40" s="305">
        <f>H14+H26</f>
        <v>38589.973757272142</v>
      </c>
      <c r="I40" s="204"/>
      <c r="J40" s="271"/>
      <c r="K40" s="305">
        <f>K14+K26</f>
        <v>0</v>
      </c>
      <c r="L40" s="204"/>
      <c r="M40" s="288"/>
      <c r="O40" s="81"/>
      <c r="P40" s="81"/>
      <c r="S40" s="81"/>
      <c r="V40" s="81"/>
    </row>
    <row r="41" spans="2:25" ht="12.75" customHeight="1" thickBot="1" x14ac:dyDescent="0.35">
      <c r="B41" s="285"/>
      <c r="C41" s="286"/>
      <c r="D41" s="292" t="s">
        <v>277</v>
      </c>
      <c r="E41" s="309">
        <f>SUM(E34:E40)</f>
        <v>184012.54060076494</v>
      </c>
      <c r="F41" s="308">
        <f>F15+F27</f>
        <v>548151.35107073945</v>
      </c>
      <c r="G41" s="300">
        <f>E41/F41</f>
        <v>0.33569659226657267</v>
      </c>
      <c r="H41" s="309">
        <f>SUM(H34:H40)</f>
        <v>913711.54260055628</v>
      </c>
      <c r="I41" s="308">
        <f>I15+I27</f>
        <v>1261592.6695763294</v>
      </c>
      <c r="J41" s="300">
        <f>H41/I41</f>
        <v>0.72425241889476155</v>
      </c>
      <c r="K41" s="309">
        <f>SUM(K34:K40)</f>
        <v>227817.15359439002</v>
      </c>
      <c r="L41" s="308">
        <f>L15+L27</f>
        <v>2561106.0078100432</v>
      </c>
      <c r="M41" s="301">
        <f>K41/L41</f>
        <v>8.8952645029009347E-2</v>
      </c>
      <c r="O41" s="61"/>
      <c r="P41" s="29"/>
      <c r="Q41" s="24"/>
      <c r="R41" s="130"/>
      <c r="S41" s="29"/>
      <c r="T41" s="24"/>
      <c r="U41" s="130"/>
      <c r="V41" s="29"/>
      <c r="W41" s="24"/>
      <c r="X41" s="130"/>
      <c r="Y41" s="167"/>
    </row>
    <row r="42" spans="2:25" ht="5.15" customHeight="1" x14ac:dyDescent="0.3">
      <c r="D42" s="242"/>
      <c r="E42" s="5"/>
      <c r="F42" s="260"/>
      <c r="G42" s="130"/>
      <c r="H42" s="5"/>
      <c r="I42" s="260"/>
      <c r="J42" s="130"/>
      <c r="K42" s="5"/>
      <c r="L42" s="260"/>
      <c r="M42" s="130"/>
      <c r="P42" s="5"/>
      <c r="Q42" s="260"/>
      <c r="R42" s="130"/>
      <c r="S42" s="5"/>
      <c r="T42" s="260"/>
      <c r="U42" s="130"/>
      <c r="V42" s="5"/>
      <c r="W42" s="260"/>
      <c r="X42" s="130"/>
    </row>
    <row r="43" spans="2:25" ht="12.75" customHeight="1" thickBot="1" x14ac:dyDescent="0.35">
      <c r="D43" s="242"/>
      <c r="E43" s="5"/>
      <c r="F43" s="260"/>
      <c r="G43" s="130"/>
      <c r="H43" s="5"/>
      <c r="I43" s="260"/>
      <c r="J43" s="130"/>
      <c r="K43" s="5"/>
      <c r="L43" s="260"/>
      <c r="M43" s="130"/>
      <c r="P43" s="5"/>
      <c r="Q43" s="260"/>
      <c r="R43" s="130"/>
      <c r="S43" s="5"/>
      <c r="T43" s="260"/>
      <c r="U43" s="130"/>
      <c r="V43" s="5"/>
      <c r="W43" s="260"/>
      <c r="X43" s="130"/>
    </row>
    <row r="44" spans="2:25" ht="15.5" x14ac:dyDescent="0.35">
      <c r="B44" s="274" t="s">
        <v>333</v>
      </c>
      <c r="C44" s="276"/>
      <c r="D44" s="276"/>
      <c r="E44" s="377" t="s">
        <v>533</v>
      </c>
      <c r="F44" s="378"/>
      <c r="G44" s="379"/>
      <c r="H44" s="377" t="s">
        <v>534</v>
      </c>
      <c r="I44" s="378"/>
      <c r="J44" s="379"/>
      <c r="K44" s="377" t="s">
        <v>102</v>
      </c>
      <c r="L44" s="380"/>
      <c r="M44" s="381"/>
      <c r="O44" s="420"/>
      <c r="P44" s="15"/>
      <c r="Q44" s="77"/>
      <c r="R44" s="77"/>
      <c r="S44" s="15"/>
      <c r="T44" s="77"/>
      <c r="U44" s="77"/>
      <c r="V44" s="15"/>
      <c r="W44" s="15"/>
      <c r="X44" s="15"/>
    </row>
    <row r="45" spans="2:25" ht="12.75" customHeight="1" x14ac:dyDescent="0.25">
      <c r="B45" s="282"/>
      <c r="E45" s="272" t="s">
        <v>324</v>
      </c>
      <c r="F45" s="293" t="s">
        <v>103</v>
      </c>
      <c r="G45" s="273" t="s">
        <v>329</v>
      </c>
      <c r="H45" s="272" t="s">
        <v>324</v>
      </c>
      <c r="I45" s="293" t="s">
        <v>103</v>
      </c>
      <c r="J45" s="273" t="s">
        <v>329</v>
      </c>
      <c r="K45" s="272" t="s">
        <v>324</v>
      </c>
      <c r="L45" s="293" t="s">
        <v>103</v>
      </c>
      <c r="M45" s="298" t="s">
        <v>329</v>
      </c>
      <c r="N45" s="161"/>
      <c r="O45" s="13"/>
      <c r="P45" s="13"/>
      <c r="Q45" s="13"/>
      <c r="R45" s="13"/>
      <c r="S45" s="13"/>
      <c r="T45" s="13"/>
      <c r="U45" s="13"/>
      <c r="V45" s="13"/>
      <c r="W45" s="13"/>
      <c r="X45" s="13"/>
    </row>
    <row r="46" spans="2:25" ht="12.75" customHeight="1" x14ac:dyDescent="0.25">
      <c r="B46" s="282"/>
      <c r="E46" s="373" t="s">
        <v>325</v>
      </c>
      <c r="F46" s="372" t="s">
        <v>326</v>
      </c>
      <c r="G46" s="361" t="s">
        <v>324</v>
      </c>
      <c r="H46" s="373" t="s">
        <v>325</v>
      </c>
      <c r="I46" s="372" t="s">
        <v>326</v>
      </c>
      <c r="J46" s="361" t="s">
        <v>324</v>
      </c>
      <c r="K46" s="373" t="s">
        <v>325</v>
      </c>
      <c r="L46" s="372" t="s">
        <v>326</v>
      </c>
      <c r="M46" s="382" t="s">
        <v>324</v>
      </c>
      <c r="N46" s="167"/>
      <c r="O46" s="13"/>
      <c r="P46" s="372"/>
      <c r="Q46" s="372"/>
      <c r="R46" s="13"/>
      <c r="S46" s="372"/>
      <c r="T46" s="372"/>
      <c r="U46" s="13"/>
      <c r="V46" s="372"/>
      <c r="W46" s="372"/>
      <c r="X46" s="13"/>
    </row>
    <row r="47" spans="2:25" ht="12.75" customHeight="1" x14ac:dyDescent="0.3">
      <c r="B47" s="287" t="s">
        <v>567</v>
      </c>
      <c r="C47" s="204"/>
      <c r="D47" s="371" t="s">
        <v>277</v>
      </c>
      <c r="E47" s="305">
        <f>'Table 3.13-COA Costs'!L79</f>
        <v>77819.688735175601</v>
      </c>
      <c r="F47" s="10">
        <f>'Table 3.13-COA Costs'!D79</f>
        <v>29365.315999999999</v>
      </c>
      <c r="G47" s="357">
        <f>E47/F47</f>
        <v>2.6500545315151931</v>
      </c>
      <c r="H47" s="305">
        <v>0</v>
      </c>
      <c r="I47" s="10">
        <v>0</v>
      </c>
      <c r="J47" s="357">
        <v>0</v>
      </c>
      <c r="K47" s="305">
        <f>E47+H47</f>
        <v>77819.688735175601</v>
      </c>
      <c r="L47" s="10">
        <f>F47+I47</f>
        <v>29365.315999999999</v>
      </c>
      <c r="M47" s="383">
        <f>G47+J47</f>
        <v>2.6500545315151931</v>
      </c>
      <c r="O47" s="130"/>
      <c r="P47" s="81"/>
      <c r="Q47" s="6"/>
      <c r="R47" s="61"/>
      <c r="S47" s="81"/>
      <c r="T47" s="6"/>
      <c r="U47" s="61"/>
      <c r="V47" s="81"/>
      <c r="W47" s="6"/>
      <c r="X47" s="130"/>
      <c r="Y47" s="167"/>
    </row>
    <row r="48" spans="2:25" ht="5.15" customHeight="1" x14ac:dyDescent="0.25">
      <c r="B48" s="282"/>
      <c r="E48" s="270"/>
      <c r="F48" s="264"/>
      <c r="G48" s="375"/>
      <c r="H48" s="270"/>
      <c r="I48" s="264"/>
      <c r="J48" s="170"/>
      <c r="K48" s="270"/>
      <c r="L48" s="264"/>
      <c r="M48" s="291"/>
      <c r="R48" s="4"/>
    </row>
    <row r="49" spans="2:25" ht="12.75" customHeight="1" x14ac:dyDescent="0.3">
      <c r="B49" s="279" t="s">
        <v>768</v>
      </c>
      <c r="E49" s="266"/>
      <c r="G49" s="376"/>
      <c r="H49" s="266"/>
      <c r="J49" s="179"/>
      <c r="K49" s="266"/>
      <c r="M49" s="278"/>
      <c r="R49" s="4"/>
    </row>
    <row r="50" spans="2:25" x14ac:dyDescent="0.25">
      <c r="B50" s="323" t="s">
        <v>769</v>
      </c>
      <c r="E50" s="304">
        <f>SUM('Table 3.25-REC Summary'!L8:L10)+'Table 3.19-CFS UAA'!J47</f>
        <v>13435.350645332874</v>
      </c>
      <c r="F50" s="6">
        <f>SUM('Table 3.23-CIOSS Summary'!C8:C10)</f>
        <v>196950.25</v>
      </c>
      <c r="G50" s="374">
        <f>E50/F50</f>
        <v>6.8216976852443059E-2</v>
      </c>
      <c r="H50" s="304">
        <f>'Table 3.19-CFS UAA'!J16</f>
        <v>23515.665099950289</v>
      </c>
      <c r="I50" s="6">
        <f>'Table 3.19-CFS UAA'!B16</f>
        <v>40765.671579011672</v>
      </c>
      <c r="J50" s="374">
        <f>H50/I50</f>
        <v>0.57684969213305937</v>
      </c>
      <c r="K50" s="304">
        <f t="shared" ref="K50:L52" si="0">E50+H50</f>
        <v>36951.015745283163</v>
      </c>
      <c r="L50" s="6">
        <f t="shared" si="0"/>
        <v>237715.92157901166</v>
      </c>
      <c r="M50" s="384">
        <f>K50/L50</f>
        <v>0.15544190519439582</v>
      </c>
      <c r="O50" s="61"/>
      <c r="P50" s="81"/>
      <c r="Q50" s="6"/>
      <c r="R50" s="61"/>
      <c r="S50" s="81"/>
      <c r="T50" s="6"/>
      <c r="U50" s="61"/>
      <c r="V50" s="81"/>
      <c r="W50" s="6"/>
      <c r="X50" s="61"/>
    </row>
    <row r="51" spans="2:25" x14ac:dyDescent="0.25">
      <c r="B51" s="323" t="s">
        <v>770</v>
      </c>
      <c r="E51" s="304">
        <f>SUM('Table 3.25-REC Summary'!L12:L13)+'Table 3.19-CFS UAA'!J60</f>
        <v>26190.380507146714</v>
      </c>
      <c r="F51" s="6">
        <f>SUM('Table 3.23-CIOSS Summary'!C12:C13)</f>
        <v>398446.60288367956</v>
      </c>
      <c r="G51" s="374">
        <f>E51/F51</f>
        <v>6.5731217979018874E-2</v>
      </c>
      <c r="H51" s="304">
        <f>'Table 3.19-CFS UAA'!J29</f>
        <v>17730.021145310584</v>
      </c>
      <c r="I51" s="6">
        <f>'Table 3.19-CFS UAA'!B29</f>
        <v>38291.915393285417</v>
      </c>
      <c r="J51" s="374">
        <f>H51/I51</f>
        <v>0.46302257181994055</v>
      </c>
      <c r="K51" s="304">
        <f t="shared" si="0"/>
        <v>43920.401652457294</v>
      </c>
      <c r="L51" s="6">
        <f t="shared" si="0"/>
        <v>436738.51827696495</v>
      </c>
      <c r="M51" s="384">
        <f>K51/L51</f>
        <v>0.100564525029149</v>
      </c>
      <c r="O51" s="61"/>
      <c r="P51" s="81"/>
      <c r="Q51" s="6"/>
      <c r="R51" s="61"/>
      <c r="S51" s="81"/>
      <c r="T51" s="6"/>
      <c r="U51" s="61"/>
      <c r="V51" s="81"/>
      <c r="W51" s="6"/>
      <c r="X51" s="61"/>
    </row>
    <row r="52" spans="2:25" x14ac:dyDescent="0.25">
      <c r="B52" s="324" t="s">
        <v>771</v>
      </c>
      <c r="C52" s="204"/>
      <c r="D52" s="271"/>
      <c r="E52" s="305">
        <v>0</v>
      </c>
      <c r="F52" s="10">
        <f>SUM('Table 3.18-Nixie UAA'!D10:D11)+SUM('Table 3.24-CIOSS Detail'!E15:E16)</f>
        <v>398446.60288367956</v>
      </c>
      <c r="G52" s="357">
        <v>0</v>
      </c>
      <c r="H52" s="305">
        <f>SUM('Table 3.18-Nixie UAA'!I26:I27)</f>
        <v>15992.982172552594</v>
      </c>
      <c r="I52" s="10">
        <f>SUM('Table 3.18-Nixie UAA'!D26:D27)</f>
        <v>38291.91539328541</v>
      </c>
      <c r="J52" s="357">
        <f>H52/I52</f>
        <v>0.41765949831167254</v>
      </c>
      <c r="K52" s="305">
        <f t="shared" si="0"/>
        <v>15992.982172552594</v>
      </c>
      <c r="L52" s="10">
        <f t="shared" si="0"/>
        <v>436738.51827696495</v>
      </c>
      <c r="M52" s="391">
        <f>K52/L52</f>
        <v>3.6619124495015073E-2</v>
      </c>
      <c r="O52" s="61"/>
      <c r="P52" s="81"/>
      <c r="Q52" s="6"/>
      <c r="R52" s="61"/>
      <c r="S52" s="81"/>
      <c r="T52" s="6"/>
      <c r="U52" s="61"/>
      <c r="V52" s="81"/>
      <c r="W52" s="6"/>
      <c r="X52" s="61"/>
    </row>
    <row r="53" spans="2:25" ht="13" x14ac:dyDescent="0.3">
      <c r="B53" s="282"/>
      <c r="D53" s="242" t="s">
        <v>277</v>
      </c>
      <c r="E53" s="310">
        <f>SUM(E50:E52)</f>
        <v>39625.731152479588</v>
      </c>
      <c r="F53" s="203">
        <f>SUM(F50:F51)</f>
        <v>595396.85288367956</v>
      </c>
      <c r="G53" s="357">
        <f>E53/F53</f>
        <v>6.655347766881986E-2</v>
      </c>
      <c r="H53" s="310">
        <f>SUM(H50:H52)</f>
        <v>57238.668417813475</v>
      </c>
      <c r="I53" s="203">
        <f>SUM(I50:I51)</f>
        <v>79057.586972297082</v>
      </c>
      <c r="J53" s="357">
        <f>H53/I53</f>
        <v>0.72401233847259627</v>
      </c>
      <c r="K53" s="305">
        <f>SUM(K50:K52)</f>
        <v>96864.399570293055</v>
      </c>
      <c r="L53" s="10">
        <f>SUM(L50:L51)</f>
        <v>674454.43985597661</v>
      </c>
      <c r="M53" s="383">
        <f>K53/L53</f>
        <v>0.14361889231684433</v>
      </c>
      <c r="O53" s="130"/>
      <c r="P53" s="29"/>
      <c r="Q53" s="24"/>
      <c r="R53" s="61"/>
      <c r="S53" s="29"/>
      <c r="T53" s="24"/>
      <c r="U53" s="61"/>
      <c r="V53" s="81"/>
      <c r="W53" s="6"/>
      <c r="X53" s="130"/>
      <c r="Y53" s="167"/>
    </row>
    <row r="54" spans="2:25" ht="5.15" customHeight="1" x14ac:dyDescent="0.25">
      <c r="B54" s="306"/>
      <c r="C54" s="264"/>
      <c r="D54" s="264"/>
      <c r="E54" s="270"/>
      <c r="F54" s="264"/>
      <c r="G54" s="170"/>
      <c r="H54" s="270"/>
      <c r="I54" s="264"/>
      <c r="J54" s="170"/>
      <c r="K54" s="270"/>
      <c r="L54" s="264"/>
      <c r="M54" s="291"/>
    </row>
    <row r="55" spans="2:25" ht="13" x14ac:dyDescent="0.3">
      <c r="B55" s="279" t="s">
        <v>772</v>
      </c>
      <c r="E55" s="266"/>
      <c r="G55" s="179"/>
      <c r="H55" s="266"/>
      <c r="J55" s="179"/>
      <c r="K55" s="266"/>
      <c r="M55" s="278"/>
    </row>
    <row r="56" spans="2:25" x14ac:dyDescent="0.25">
      <c r="B56" s="289" t="s">
        <v>327</v>
      </c>
      <c r="E56" s="304">
        <f>F56*G56</f>
        <v>29292.321191969193</v>
      </c>
      <c r="F56" s="6">
        <f>SUM('Table 3.11-Form3547 Costs'!H6,'Table 3.11-Form3547 Costs'!H13,'Table 3.11-Form3547 Costs'!H19)</f>
        <v>38219.867852591167</v>
      </c>
      <c r="G56" s="374">
        <f>'Table 3.11-Form3547 Costs'!P21</f>
        <v>0.76641607723359206</v>
      </c>
      <c r="H56" s="304">
        <f>I56*J56</f>
        <v>12808.842616530952</v>
      </c>
      <c r="I56" s="6">
        <f>SUM('Table 3.11-Form3547 Costs'!H28:H29,'Table 3.11-Form3547 Costs'!H36:H37,'Table 3.11-Form3547 Costs'!H43)</f>
        <v>7282.1389087228636</v>
      </c>
      <c r="J56" s="374">
        <f>'Table 3.11-Form3547 Costs'!P45</f>
        <v>1.7589396161048181</v>
      </c>
      <c r="K56" s="304">
        <f>E56+H56</f>
        <v>42101.163808500147</v>
      </c>
      <c r="L56" s="6">
        <f>F56+I56</f>
        <v>45502.006761314027</v>
      </c>
      <c r="M56" s="384">
        <f>K56/L56</f>
        <v>0.92525949524262985</v>
      </c>
      <c r="O56" s="61"/>
      <c r="P56" s="81"/>
      <c r="Q56" s="6"/>
      <c r="R56" s="61"/>
      <c r="S56" s="81"/>
      <c r="T56" s="6"/>
      <c r="U56" s="61"/>
      <c r="V56" s="81"/>
      <c r="W56" s="6"/>
      <c r="X56" s="61"/>
    </row>
    <row r="57" spans="2:25" x14ac:dyDescent="0.25">
      <c r="B57" s="290" t="s">
        <v>328</v>
      </c>
      <c r="C57" s="204"/>
      <c r="D57" s="271"/>
      <c r="E57" s="305">
        <v>0</v>
      </c>
      <c r="F57" s="10">
        <v>0</v>
      </c>
      <c r="G57" s="357">
        <v>0</v>
      </c>
      <c r="H57" s="305">
        <f>I57*J57</f>
        <v>12097.718260777774</v>
      </c>
      <c r="I57" s="10">
        <f>SUM('Table 3.12-Form3579 Costs'!H7:H8)</f>
        <v>9390.6912701593355</v>
      </c>
      <c r="J57" s="357">
        <f>'Table 3.12-Form3579 Costs'!P12</f>
        <v>1.2882670628540966</v>
      </c>
      <c r="K57" s="305">
        <f>E57+H57</f>
        <v>12097.718260777774</v>
      </c>
      <c r="L57" s="10">
        <f>F57+I57</f>
        <v>9390.6912701593355</v>
      </c>
      <c r="M57" s="391">
        <f>K57/L57</f>
        <v>1.2882670628540966</v>
      </c>
      <c r="O57" s="61"/>
      <c r="P57" s="81"/>
      <c r="Q57" s="6"/>
      <c r="R57" s="61"/>
      <c r="S57" s="81"/>
      <c r="T57" s="6"/>
      <c r="U57" s="61"/>
      <c r="V57" s="81"/>
      <c r="W57" s="6"/>
      <c r="X57" s="61"/>
    </row>
    <row r="58" spans="2:25" ht="13.5" thickBot="1" x14ac:dyDescent="0.35">
      <c r="B58" s="285"/>
      <c r="C58" s="286"/>
      <c r="D58" s="292" t="s">
        <v>277</v>
      </c>
      <c r="E58" s="385">
        <f>SUM(E56:E57)</f>
        <v>29292.321191969193</v>
      </c>
      <c r="F58" s="386">
        <f>SUM(F56:F57)</f>
        <v>38219.867852591167</v>
      </c>
      <c r="G58" s="387">
        <f>E58/F58</f>
        <v>0.76641607723359206</v>
      </c>
      <c r="H58" s="385">
        <f>SUM(H56:H57)</f>
        <v>24906.560877308726</v>
      </c>
      <c r="I58" s="386">
        <f>SUM(I56:I57)</f>
        <v>16672.830178882199</v>
      </c>
      <c r="J58" s="387">
        <f>H58/I58</f>
        <v>1.4938412141242443</v>
      </c>
      <c r="K58" s="388">
        <f>SUM(K56:K57)</f>
        <v>54198.882069277919</v>
      </c>
      <c r="L58" s="389">
        <f>SUM(L56:L57)</f>
        <v>54892.698031473366</v>
      </c>
      <c r="M58" s="390">
        <f>K58/L58</f>
        <v>0.98736050536634867</v>
      </c>
      <c r="O58" s="130"/>
      <c r="P58" s="29"/>
      <c r="Q58" s="24"/>
      <c r="R58" s="61"/>
      <c r="S58" s="29"/>
      <c r="T58" s="24"/>
      <c r="U58" s="61"/>
      <c r="V58" s="81"/>
      <c r="W58" s="6"/>
      <c r="X58" s="130"/>
      <c r="Y58" s="167"/>
    </row>
    <row r="59" spans="2:25" ht="5.15" customHeight="1" thickBot="1" x14ac:dyDescent="0.3"/>
    <row r="60" spans="2:25" ht="12.75" customHeight="1" thickBot="1" x14ac:dyDescent="0.35">
      <c r="C60" s="394"/>
      <c r="D60" s="395" t="s">
        <v>538</v>
      </c>
      <c r="E60" s="396">
        <f>SUM(E15,H15,K15)+SUM(E47,E53,E58)</f>
        <v>1012301.2687225033</v>
      </c>
      <c r="F60" s="397"/>
      <c r="G60" s="397"/>
      <c r="H60" s="396">
        <f>SUM(E27,H27,K27)+SUM(H47,H53,H58)</f>
        <v>542122.9384479546</v>
      </c>
      <c r="I60" s="397"/>
      <c r="J60" s="397"/>
      <c r="K60" s="396">
        <f>E60+H60</f>
        <v>1554424.207170458</v>
      </c>
      <c r="L60" s="397"/>
      <c r="M60" s="398"/>
      <c r="O60" s="415"/>
      <c r="P60" s="29"/>
      <c r="S60" s="29"/>
      <c r="V60" s="29"/>
      <c r="Y60" s="167"/>
    </row>
    <row r="61" spans="2:25" ht="12.75" hidden="1" customHeight="1" x14ac:dyDescent="0.3">
      <c r="D61" s="242"/>
      <c r="E61" s="24"/>
      <c r="F61" s="6"/>
      <c r="G61" s="6"/>
      <c r="H61" s="6"/>
      <c r="I61" s="6"/>
      <c r="J61" s="6"/>
      <c r="K61" s="6"/>
      <c r="L61" s="6"/>
    </row>
    <row r="62" spans="2:25" ht="13" hidden="1" x14ac:dyDescent="0.3">
      <c r="D62" s="242"/>
      <c r="E62" s="29"/>
    </row>
    <row r="63" spans="2:25" hidden="1" x14ac:dyDescent="0.25">
      <c r="D63" s="243" t="s">
        <v>191</v>
      </c>
      <c r="E63" s="102">
        <f>E15-'Table 3.3-PARS Fwd Summary'!F29</f>
        <v>0</v>
      </c>
      <c r="F63" s="102">
        <f>F15-'Table 3.3-PARS Fwd Summary'!B29</f>
        <v>0</v>
      </c>
      <c r="G63" s="257"/>
      <c r="H63" s="102">
        <f>H15-'Table 3.6-PARS RTS Summary'!F68</f>
        <v>0</v>
      </c>
      <c r="I63" s="102">
        <f>I15-'Table 3.6-PARS RTS Summary'!B68</f>
        <v>0</v>
      </c>
      <c r="J63" s="257"/>
      <c r="K63" s="102">
        <f>K15-'Table 3.9-PARS Wst Summary'!F48</f>
        <v>0</v>
      </c>
      <c r="L63" s="102">
        <f>L15-'Table 3.9-PARS Wst Summary'!B48</f>
        <v>0</v>
      </c>
      <c r="M63" s="257"/>
    </row>
    <row r="64" spans="2:25" hidden="1" x14ac:dyDescent="0.25">
      <c r="D64" s="243"/>
      <c r="E64" s="102">
        <f>E27-'Table 3.4-NonPARS Fwd Summary'!F24</f>
        <v>0</v>
      </c>
      <c r="F64" s="102">
        <f>F27-'Table 3.4-NonPARS Fwd Summary'!B24</f>
        <v>0</v>
      </c>
      <c r="G64" s="257"/>
      <c r="H64" s="102">
        <f>H27-'Table 3.7-NonPARS RTS Summary'!F29</f>
        <v>0</v>
      </c>
      <c r="I64" s="102">
        <f>I27-'Table 3.7-NonPARS RTS Summary'!B29</f>
        <v>0</v>
      </c>
      <c r="J64" s="257"/>
      <c r="K64" s="102">
        <f>K27-'Table 3.10-NonPARS Wst Summary'!F20</f>
        <v>0</v>
      </c>
      <c r="L64" s="102">
        <f>L27-'Table 3.10-NonPARS Wst Summary'!B20</f>
        <v>0</v>
      </c>
      <c r="M64" s="257"/>
    </row>
    <row r="65" spans="2:16" hidden="1" x14ac:dyDescent="0.25">
      <c r="D65" s="20"/>
      <c r="E65" s="102">
        <v>0</v>
      </c>
      <c r="F65" s="102">
        <v>0</v>
      </c>
      <c r="G65" s="102">
        <v>0</v>
      </c>
      <c r="H65" s="102">
        <f>G47-'Table 3.13-COA Costs'!N79</f>
        <v>0</v>
      </c>
      <c r="I65" s="102">
        <f>G50-'Table 3.43-Elec Notice'!L15</f>
        <v>0</v>
      </c>
      <c r="J65" s="102">
        <f>J50-'Table 3.43-Elec Notice'!R15</f>
        <v>0</v>
      </c>
      <c r="K65" s="102">
        <f>M50-'Table 3.43-Elec Notice'!F15</f>
        <v>0</v>
      </c>
      <c r="L65" s="102">
        <f>G51-'Table 3.43-Elec Notice'!L27</f>
        <v>0</v>
      </c>
      <c r="M65" s="102">
        <f>SUM(H51:H52)/I51-'Table 3.43-Elec Notice'!R27</f>
        <v>0</v>
      </c>
      <c r="N65" s="102">
        <f>SUM(K51:K52)/L51-'Table 3.43-Elec Notice'!F27</f>
        <v>0</v>
      </c>
    </row>
    <row r="66" spans="2:16" hidden="1" x14ac:dyDescent="0.25">
      <c r="D66" s="20"/>
      <c r="E66" s="257"/>
      <c r="F66" s="257"/>
      <c r="G66" s="257"/>
      <c r="H66" s="102">
        <f>M56-'Table 3.41-Man Notice'!F25</f>
        <v>0</v>
      </c>
      <c r="I66" s="102">
        <f>M57-'Table 3.41-Man Notice'!F33</f>
        <v>0</v>
      </c>
      <c r="J66" s="102">
        <f>M58-'Table 3.41-Man Notice'!F35</f>
        <v>0</v>
      </c>
      <c r="L66" s="257"/>
      <c r="M66" s="257"/>
    </row>
    <row r="67" spans="2:16" hidden="1" x14ac:dyDescent="0.25">
      <c r="D67" s="20"/>
      <c r="E67" s="257"/>
      <c r="F67" s="257"/>
      <c r="G67" s="257"/>
      <c r="H67" s="257"/>
      <c r="I67" s="257"/>
      <c r="J67" s="257"/>
      <c r="K67" s="257"/>
      <c r="L67" s="257"/>
      <c r="M67" s="257"/>
    </row>
    <row r="68" spans="2:16" hidden="1" x14ac:dyDescent="0.25">
      <c r="D68" s="20"/>
      <c r="E68" s="257"/>
      <c r="F68" s="257"/>
      <c r="G68" s="257"/>
      <c r="H68" s="257"/>
      <c r="I68" s="257"/>
      <c r="J68" s="257"/>
      <c r="K68" s="257"/>
      <c r="L68" s="257"/>
      <c r="M68" s="257"/>
    </row>
    <row r="69" spans="2:16" hidden="1" x14ac:dyDescent="0.25">
      <c r="G69" s="20" t="s">
        <v>351</v>
      </c>
      <c r="H69" s="6">
        <f>SUM('Table 3.2-Total Fwd Summary'!F34,'Table 3.5-Total RTS Summary'!F38,'Table 3.8-Total Wst Summary'!F19)</f>
        <v>1325541.2367957116</v>
      </c>
      <c r="I69" s="6">
        <f>SUM(E41,H41,K41)</f>
        <v>1325541.2367957113</v>
      </c>
      <c r="J69" s="102">
        <f t="shared" ref="J69:J74" si="1">H69-I69</f>
        <v>0</v>
      </c>
      <c r="K69" s="257"/>
      <c r="L69" s="257"/>
      <c r="M69" s="365" t="s">
        <v>311</v>
      </c>
      <c r="N69" s="6">
        <f>SUM('Table 3.14-Route UAA'!J103,'Table 3.14-Route UAA'!J109,'Table 3.14-Route UAA'!J111)</f>
        <v>173164.17758481367</v>
      </c>
      <c r="O69" s="6">
        <f t="shared" ref="O69:O75" si="2">E34+H34+K34</f>
        <v>173164.17758481367</v>
      </c>
      <c r="P69" s="257"/>
    </row>
    <row r="70" spans="2:16" hidden="1" x14ac:dyDescent="0.25">
      <c r="G70" s="20" t="s">
        <v>352</v>
      </c>
      <c r="H70" s="6">
        <f>'Table 3.13-COA Costs'!D79*'Table 3.13-COA Costs'!N79</f>
        <v>77819.688735175601</v>
      </c>
      <c r="I70" s="6">
        <f>K47</f>
        <v>77819.688735175601</v>
      </c>
      <c r="J70" s="102">
        <f t="shared" si="1"/>
        <v>0</v>
      </c>
      <c r="K70" s="257"/>
      <c r="L70" s="257"/>
      <c r="M70" s="36" t="s">
        <v>312</v>
      </c>
      <c r="N70" s="6">
        <f>'Table 3.18-Nixie UAA'!I40+'Table 3.31-Rating Post Due'!H27-SUM('Table 3.18-Nixie UAA'!I26:I27)</f>
        <v>77348.550370545243</v>
      </c>
      <c r="O70" s="6">
        <f t="shared" si="2"/>
        <v>77348.550370545243</v>
      </c>
      <c r="P70" s="257"/>
    </row>
    <row r="71" spans="2:16" hidden="1" x14ac:dyDescent="0.25">
      <c r="G71" s="243" t="s">
        <v>774</v>
      </c>
      <c r="H71" s="6">
        <f>SUM('Table 3.27-REC Detail ACS'!K49:K50)+SUM('Table 3.19-CFS UAA'!J16,'Table 3.19-CFS UAA'!J29,'Table 3.19-CFS UAA'!J47,'Table 3.19-CFS UAA'!J60)+SUM('Table 3.18-Nixie UAA'!I26:I27)</f>
        <v>96864.399570293055</v>
      </c>
      <c r="I71" s="6">
        <f>K53</f>
        <v>96864.399570293055</v>
      </c>
      <c r="J71" s="102">
        <f t="shared" si="1"/>
        <v>0</v>
      </c>
      <c r="K71" s="257"/>
      <c r="L71" s="257"/>
      <c r="M71" s="36" t="s">
        <v>313</v>
      </c>
      <c r="N71" s="6">
        <f>SUM('Table 3.19-CFS UAA'!J77,'Table 3.19-CFS UAA'!J90)+SUM('Table 3.20-CFS Non-CIOSS'!H45,'Table 3.20-CFS Non-CIOSS'!H50,'Table 3.20-CFS Non-CIOSS'!H56,'Table 3.20-CFS Non-CIOSS'!H61)</f>
        <v>42877.819711972705</v>
      </c>
      <c r="O71" s="6">
        <f t="shared" si="2"/>
        <v>42877.819711972705</v>
      </c>
      <c r="P71" s="257"/>
    </row>
    <row r="72" spans="2:16" hidden="1" x14ac:dyDescent="0.25">
      <c r="G72" s="20" t="s">
        <v>353</v>
      </c>
      <c r="H72" s="6">
        <f>SUM('Table 3.11-Form3547 Costs'!H6,'Table 3.11-Form3547 Costs'!H13,'Table 3.11-Form3547 Costs'!H19)*'Table 3.11-Form3547 Costs'!P21+SUM('Table 3.11-Form3547 Costs'!H28:H29,'Table 3.11-Form3547 Costs'!H36:H37,'Table 3.11-Form3547 Costs'!H43)*'Table 3.11-Form3547 Costs'!P45+SUM('Table 3.12-Form3579 Costs'!H7:H8)*'Table 3.12-Form3579 Costs'!P12</f>
        <v>54198.882069277919</v>
      </c>
      <c r="I72" s="6">
        <f>K58</f>
        <v>54198.882069277919</v>
      </c>
      <c r="J72" s="102">
        <f t="shared" si="1"/>
        <v>0</v>
      </c>
      <c r="K72" s="257"/>
      <c r="L72" s="257"/>
      <c r="M72" s="365" t="s">
        <v>502</v>
      </c>
      <c r="N72" s="6">
        <f>'Table 3.23-CIOSS Summary'!I14</f>
        <v>73654.012724578657</v>
      </c>
      <c r="O72" s="6">
        <f t="shared" si="2"/>
        <v>73654.012724578672</v>
      </c>
      <c r="P72" s="257"/>
    </row>
    <row r="73" spans="2:16" hidden="1" x14ac:dyDescent="0.25">
      <c r="G73" s="20" t="s">
        <v>354</v>
      </c>
      <c r="H73" s="6"/>
      <c r="I73" s="6"/>
      <c r="J73" s="102">
        <f t="shared" si="1"/>
        <v>0</v>
      </c>
      <c r="K73" s="257"/>
      <c r="L73" s="257"/>
      <c r="M73" s="365" t="s">
        <v>503</v>
      </c>
      <c r="N73" s="6">
        <f>SUM('Table 3.25-REC Summary'!K14:K14)</f>
        <v>74016.804517509328</v>
      </c>
      <c r="O73" s="6">
        <f t="shared" si="2"/>
        <v>74016.804517509328</v>
      </c>
      <c r="P73" s="257"/>
    </row>
    <row r="74" spans="2:16" hidden="1" x14ac:dyDescent="0.25">
      <c r="G74" s="20"/>
      <c r="H74" s="6">
        <f>SUM(H69:H73)</f>
        <v>1554424.207170458</v>
      </c>
      <c r="I74" s="6">
        <f>SUM(I69:I73)</f>
        <v>1554424.2071704578</v>
      </c>
      <c r="J74" s="102">
        <f t="shared" si="1"/>
        <v>0</v>
      </c>
      <c r="K74" s="257"/>
      <c r="L74" s="257"/>
      <c r="M74" s="36" t="s">
        <v>518</v>
      </c>
      <c r="N74" s="6">
        <f>SUMPRODUCT('Table 3.29-UAA MP Units'!G6:G7,'Table 3.29-UAA MP Units'!G27:G28)</f>
        <v>838001.13168823835</v>
      </c>
      <c r="O74" s="6">
        <f t="shared" si="2"/>
        <v>838001.13168823835</v>
      </c>
      <c r="P74" s="257"/>
    </row>
    <row r="75" spans="2:16" hidden="1" x14ac:dyDescent="0.25">
      <c r="G75" s="20"/>
      <c r="H75" s="81"/>
      <c r="I75" s="81"/>
      <c r="J75" s="81"/>
      <c r="K75" s="257"/>
      <c r="L75" s="257"/>
      <c r="M75" s="36" t="s">
        <v>315</v>
      </c>
      <c r="N75" s="6">
        <f>SUM('Table 3.32-Accounting Post Due'!D4:D11)*'Table 3.32-Accounting Post Due'!F4+SUM('Table 3.33-Delivery Post Due'!D5:D18)*'Table 3.33-Delivery Post Due'!F5+SUM('Table 3.34-Window Post Due'!D4:D11)*'Table 3.34-Window Post Due'!F4+'Table 3.36-Process Form 3546'!B4*'Table 3.36-Process Form 3546'!J17</f>
        <v>46478.740198053354</v>
      </c>
      <c r="O75" s="6">
        <f t="shared" si="2"/>
        <v>46478.740198053347</v>
      </c>
      <c r="P75" s="257"/>
    </row>
    <row r="76" spans="2:16" hidden="1" x14ac:dyDescent="0.25">
      <c r="G76" s="20"/>
      <c r="H76" s="81"/>
      <c r="I76" s="81"/>
      <c r="J76" s="81"/>
      <c r="K76" s="257"/>
      <c r="L76" s="257"/>
      <c r="M76" s="36" t="s">
        <v>314</v>
      </c>
      <c r="N76" s="6">
        <f>SUM(N69:N75)</f>
        <v>1325541.2367957113</v>
      </c>
      <c r="O76" s="6">
        <f>SUM(O69:O75)</f>
        <v>1325541.2367957113</v>
      </c>
      <c r="P76" s="257"/>
    </row>
    <row r="77" spans="2:16" x14ac:dyDescent="0.25">
      <c r="B77" s="204"/>
      <c r="C77" s="204"/>
      <c r="D77" s="204"/>
      <c r="E77" s="239"/>
      <c r="F77" s="239"/>
      <c r="G77" s="204"/>
      <c r="H77" s="204"/>
      <c r="I77" s="204"/>
      <c r="J77" s="204"/>
      <c r="K77" s="204"/>
    </row>
    <row r="78" spans="2:16" x14ac:dyDescent="0.25">
      <c r="B78" t="s">
        <v>235</v>
      </c>
      <c r="P78" s="422"/>
    </row>
    <row r="79" spans="2:16" x14ac:dyDescent="0.25">
      <c r="B79" s="11" t="s">
        <v>568</v>
      </c>
      <c r="G79" s="11" t="s">
        <v>27</v>
      </c>
    </row>
    <row r="80" spans="2:16" x14ac:dyDescent="0.25">
      <c r="B80" s="11" t="s">
        <v>569</v>
      </c>
      <c r="G80" s="11" t="s">
        <v>573</v>
      </c>
    </row>
    <row r="81" spans="2:7" x14ac:dyDescent="0.25">
      <c r="B81" s="11" t="s">
        <v>570</v>
      </c>
      <c r="G81" s="11" t="s">
        <v>28</v>
      </c>
    </row>
    <row r="82" spans="2:7" x14ac:dyDescent="0.25">
      <c r="B82" s="12" t="s">
        <v>776</v>
      </c>
      <c r="G82" s="11" t="s">
        <v>29</v>
      </c>
    </row>
    <row r="83" spans="2:7" x14ac:dyDescent="0.25">
      <c r="B83" s="11" t="s">
        <v>777</v>
      </c>
      <c r="G83" s="11" t="s">
        <v>617</v>
      </c>
    </row>
    <row r="84" spans="2:7" x14ac:dyDescent="0.25">
      <c r="B84" s="11" t="s">
        <v>571</v>
      </c>
      <c r="G84" s="11" t="s">
        <v>47</v>
      </c>
    </row>
    <row r="85" spans="2:7" x14ac:dyDescent="0.25">
      <c r="B85" s="11" t="s">
        <v>572</v>
      </c>
    </row>
  </sheetData>
  <phoneticPr fontId="5" type="noConversion"/>
  <printOptions horizontalCentered="1"/>
  <pageMargins left="0.75" right="0.75" top="1" bottom="1" header="0.5" footer="0.5"/>
  <pageSetup scale="55" orientation="landscape" r:id="rId1"/>
  <headerFooter alignWithMargins="0">
    <oddFooter>&amp;L&amp;F</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54"/>
  <dimension ref="A1:N136"/>
  <sheetViews>
    <sheetView zoomScale="70" zoomScaleNormal="70" workbookViewId="0"/>
  </sheetViews>
  <sheetFormatPr defaultColWidth="9.08984375" defaultRowHeight="12.5" x14ac:dyDescent="0.25"/>
  <cols>
    <col min="1" max="1" width="31.54296875" style="4" customWidth="1"/>
    <col min="2" max="2" width="11.6328125" customWidth="1"/>
    <col min="3" max="3" width="2.6328125" customWidth="1"/>
    <col min="4" max="4" width="11.6328125" style="28" customWidth="1"/>
    <col min="5" max="5" width="2.6328125" style="28" customWidth="1"/>
    <col min="6" max="6" width="11.6328125" style="28" customWidth="1"/>
    <col min="7" max="7" width="2.6328125" style="28" customWidth="1"/>
    <col min="8" max="8" width="11.6328125" style="57" customWidth="1"/>
    <col min="9" max="9" width="2.6328125" style="57" customWidth="1"/>
    <col min="10" max="11" width="11.6328125" style="28" customWidth="1"/>
    <col min="12" max="16384" width="9.08984375" style="4"/>
  </cols>
  <sheetData>
    <row r="1" spans="1:11" ht="15.75" customHeight="1" x14ac:dyDescent="0.35">
      <c r="A1" s="117" t="s">
        <v>559</v>
      </c>
      <c r="D1" s="2"/>
      <c r="E1" s="2"/>
      <c r="F1" s="2"/>
      <c r="G1" s="2"/>
      <c r="H1" s="2"/>
      <c r="I1" s="2"/>
      <c r="J1" s="2"/>
      <c r="K1" s="2"/>
    </row>
    <row r="2" spans="1:11" ht="15.5" x14ac:dyDescent="0.35">
      <c r="A2" s="117" t="s">
        <v>787</v>
      </c>
      <c r="D2" s="2"/>
      <c r="E2" s="2"/>
      <c r="F2" s="2"/>
      <c r="G2" s="2"/>
      <c r="H2" s="2"/>
      <c r="I2" s="2"/>
      <c r="J2" s="2"/>
      <c r="K2" s="2"/>
    </row>
    <row r="3" spans="1:11" ht="25.5" customHeight="1" x14ac:dyDescent="0.25">
      <c r="A3" s="66"/>
      <c r="B3" s="125" t="s">
        <v>222</v>
      </c>
      <c r="C3" s="125"/>
      <c r="D3" s="138" t="s">
        <v>217</v>
      </c>
      <c r="E3" s="138"/>
      <c r="F3" s="141" t="s">
        <v>104</v>
      </c>
      <c r="G3" s="141"/>
      <c r="H3" s="142" t="s">
        <v>251</v>
      </c>
      <c r="I3" s="142"/>
      <c r="J3" s="119" t="s">
        <v>218</v>
      </c>
      <c r="K3" s="31" t="s">
        <v>133</v>
      </c>
    </row>
    <row r="4" spans="1:11" ht="15.5" x14ac:dyDescent="0.35">
      <c r="A4" s="117" t="s">
        <v>434</v>
      </c>
      <c r="B4" s="125"/>
      <c r="C4" s="125"/>
      <c r="D4" s="138"/>
      <c r="E4" s="138"/>
      <c r="F4" s="141"/>
      <c r="G4" s="141"/>
      <c r="H4" s="142"/>
      <c r="I4" s="142"/>
      <c r="J4" s="119"/>
      <c r="K4" s="31"/>
    </row>
    <row r="5" spans="1:11" ht="5.15" customHeight="1" x14ac:dyDescent="0.35">
      <c r="A5" s="117"/>
      <c r="B5" s="125"/>
      <c r="C5" s="125"/>
      <c r="D5" s="138"/>
      <c r="E5" s="138"/>
      <c r="F5" s="141"/>
      <c r="G5" s="141"/>
      <c r="H5" s="142"/>
      <c r="I5" s="142"/>
      <c r="J5" s="119"/>
      <c r="K5" s="31"/>
    </row>
    <row r="6" spans="1:11" ht="13" x14ac:dyDescent="0.3">
      <c r="A6" s="345" t="s">
        <v>291</v>
      </c>
      <c r="B6" s="125"/>
      <c r="C6" s="125"/>
      <c r="D6" s="138"/>
      <c r="E6" s="138"/>
      <c r="F6" s="141"/>
      <c r="G6" s="141"/>
      <c r="H6" s="142"/>
      <c r="I6" s="142"/>
      <c r="J6" s="119"/>
      <c r="K6" s="31"/>
    </row>
    <row r="7" spans="1:11" x14ac:dyDescent="0.25">
      <c r="A7" s="60" t="s">
        <v>173</v>
      </c>
      <c r="B7" s="6"/>
      <c r="C7" s="6"/>
      <c r="D7" s="29"/>
      <c r="E7" s="29"/>
      <c r="F7" s="64"/>
      <c r="G7" s="64"/>
      <c r="H7" s="74"/>
      <c r="I7" s="39"/>
      <c r="J7" s="29"/>
      <c r="K7" s="64"/>
    </row>
    <row r="8" spans="1:11" x14ac:dyDescent="0.25">
      <c r="A8" s="246" t="s">
        <v>130</v>
      </c>
      <c r="B8" s="75">
        <f>SUM('Table 3.20-CFS Non-CIOSS'!B7,'Table 3.20-CFS Non-CIOSS'!B12,'Table 3.20-CFS Non-CIOSS'!B17)</f>
        <v>0</v>
      </c>
      <c r="C8" s="212" t="s">
        <v>238</v>
      </c>
      <c r="D8" s="36">
        <f>SUM('Table 3.20-CFS Non-CIOSS'!C7,'Table 3.20-CFS Non-CIOSS'!C12,'Table 3.20-CFS Non-CIOSS'!C17)</f>
        <v>0</v>
      </c>
      <c r="E8" s="212" t="s">
        <v>238</v>
      </c>
      <c r="F8" s="61" t="str">
        <f>IF(ISERROR(D8/B8),"n/a",D8/B8)</f>
        <v>n/a</v>
      </c>
      <c r="G8" s="63"/>
      <c r="H8" s="39">
        <v>1.7351466784479892</v>
      </c>
      <c r="I8" s="39"/>
      <c r="J8" s="36">
        <f>D8*$H8</f>
        <v>0</v>
      </c>
      <c r="K8" s="61" t="str">
        <f>IF(ISERROR(J8/B8),"n/a",J8/B8)</f>
        <v>n/a</v>
      </c>
    </row>
    <row r="9" spans="1:11" x14ac:dyDescent="0.25">
      <c r="A9" s="246" t="s">
        <v>292</v>
      </c>
      <c r="B9" s="75">
        <f>SUM('Table 3.20-CFS Non-CIOSS'!B8,'Table 3.20-CFS Non-CIOSS'!B13,'Table 3.20-CFS Non-CIOSS'!B18)</f>
        <v>91228.287589885018</v>
      </c>
      <c r="C9" s="212" t="s">
        <v>238</v>
      </c>
      <c r="D9" s="36">
        <f>SUM('Table 3.20-CFS Non-CIOSS'!C8,'Table 3.20-CFS Non-CIOSS'!C13,'Table 3.20-CFS Non-CIOSS'!C18)</f>
        <v>16547.767778895759</v>
      </c>
      <c r="E9" s="212" t="s">
        <v>238</v>
      </c>
      <c r="F9" s="61">
        <f>IF(ISERROR(D9/B9),"n/a",D9/B9)</f>
        <v>0.18138856067633238</v>
      </c>
      <c r="G9" s="63"/>
      <c r="H9" s="39">
        <v>1.7351466784479892</v>
      </c>
      <c r="I9" s="39"/>
      <c r="J9" s="36">
        <f>D9*$H9</f>
        <v>28712.804297279636</v>
      </c>
      <c r="K9" s="61">
        <f>IF(ISERROR(J9/B9),"n/a",J9/B9)</f>
        <v>0.31473575856599967</v>
      </c>
    </row>
    <row r="10" spans="1:11" ht="5.15" customHeight="1" x14ac:dyDescent="0.25">
      <c r="A10" s="66"/>
      <c r="B10" s="143"/>
      <c r="C10" s="143"/>
      <c r="D10" s="145"/>
      <c r="E10" s="143"/>
      <c r="F10" s="144"/>
      <c r="G10" s="141"/>
      <c r="H10" s="142"/>
      <c r="I10" s="142"/>
      <c r="J10" s="146"/>
      <c r="K10" s="61"/>
    </row>
    <row r="11" spans="1:11" x14ac:dyDescent="0.25">
      <c r="A11" s="60" t="s">
        <v>176</v>
      </c>
      <c r="B11" s="34"/>
      <c r="C11" s="34"/>
      <c r="D11" s="36"/>
      <c r="E11" s="34"/>
      <c r="F11" s="63"/>
      <c r="G11" s="20"/>
      <c r="H11" s="20"/>
      <c r="I11" s="20"/>
      <c r="J11" s="36"/>
      <c r="K11" s="63"/>
    </row>
    <row r="12" spans="1:11" x14ac:dyDescent="0.25">
      <c r="A12" s="246" t="s">
        <v>130</v>
      </c>
      <c r="B12" s="75">
        <f>SUM('Table 3.20-CFS Non-CIOSS'!B23,'Table 3.20-CFS Non-CIOSS'!B28,'Table 3.20-CFS Non-CIOSS'!B33)</f>
        <v>0</v>
      </c>
      <c r="C12" s="212" t="s">
        <v>238</v>
      </c>
      <c r="D12" s="36">
        <f>SUM('Table 3.20-CFS Non-CIOSS'!C23,'Table 3.20-CFS Non-CIOSS'!C28,'Table 3.20-CFS Non-CIOSS'!C33)</f>
        <v>0</v>
      </c>
      <c r="E12" s="212" t="s">
        <v>238</v>
      </c>
      <c r="F12" s="61" t="str">
        <f>IF(ISERROR(D12/B12),"n/a",D12/B12)</f>
        <v>n/a</v>
      </c>
      <c r="G12" s="63"/>
      <c r="H12" s="39">
        <v>1.7351466784479892</v>
      </c>
      <c r="I12" s="39"/>
      <c r="J12" s="36">
        <f>D12*$H12</f>
        <v>0</v>
      </c>
      <c r="K12" s="61" t="str">
        <f>IF(ISERROR(J12/B12),"n/a",J12/B12)</f>
        <v>n/a</v>
      </c>
    </row>
    <row r="13" spans="1:11" x14ac:dyDescent="0.25">
      <c r="A13" s="246" t="s">
        <v>292</v>
      </c>
      <c r="B13" s="75">
        <f>SUM('Table 3.20-CFS Non-CIOSS'!B24,'Table 3.20-CFS Non-CIOSS'!B29,'Table 3.20-CFS Non-CIOSS'!B34)</f>
        <v>40765.671579011672</v>
      </c>
      <c r="C13" s="212" t="s">
        <v>238</v>
      </c>
      <c r="D13" s="36">
        <f>SUM('Table 3.20-CFS Non-CIOSS'!C24,'Table 3.20-CFS Non-CIOSS'!C29,'Table 3.20-CFS Non-CIOSS'!C34)</f>
        <v>13552.551719134199</v>
      </c>
      <c r="E13" s="212" t="s">
        <v>238</v>
      </c>
      <c r="F13" s="61">
        <f>IF(ISERROR(D13/B13),"n/a",D13/B13)</f>
        <v>0.33245010309389261</v>
      </c>
      <c r="G13" s="63"/>
      <c r="H13" s="39">
        <v>1.7351466784479892</v>
      </c>
      <c r="I13" s="39"/>
      <c r="J13" s="36">
        <f>D13*$H13</f>
        <v>23515.665099950289</v>
      </c>
      <c r="K13" s="61">
        <f>IF(ISERROR(J13/B13),"n/a",J13/B13)</f>
        <v>0.57684969213305937</v>
      </c>
    </row>
    <row r="14" spans="1:11" ht="5.15" customHeight="1" x14ac:dyDescent="0.25">
      <c r="A14" s="66"/>
      <c r="B14" s="143"/>
      <c r="C14" s="143"/>
      <c r="D14" s="145"/>
      <c r="E14" s="145"/>
      <c r="F14" s="144"/>
      <c r="G14" s="141"/>
      <c r="H14" s="142"/>
      <c r="I14" s="142"/>
      <c r="J14" s="146"/>
      <c r="K14" s="61"/>
    </row>
    <row r="15" spans="1:11" x14ac:dyDescent="0.25">
      <c r="A15" s="246" t="s">
        <v>177</v>
      </c>
      <c r="B15" s="34">
        <f>SUM(B8:B9)</f>
        <v>91228.287589885018</v>
      </c>
      <c r="C15" s="34"/>
      <c r="D15" s="36">
        <f>SUM(D8:D9)</f>
        <v>16547.767778895759</v>
      </c>
      <c r="E15" s="36"/>
      <c r="F15" s="61">
        <f>IF(ISERROR(D15/B15),"n/a",D15/B15)</f>
        <v>0.18138856067633238</v>
      </c>
      <c r="G15" s="31"/>
      <c r="H15" s="55"/>
      <c r="I15" s="55"/>
      <c r="J15" s="36">
        <f>SUM(J8:J9)</f>
        <v>28712.804297279636</v>
      </c>
      <c r="K15" s="61">
        <f>IF(ISERROR(J15/B15),"n/a",J15/B15)</f>
        <v>0.31473575856599967</v>
      </c>
    </row>
    <row r="16" spans="1:11" x14ac:dyDescent="0.25">
      <c r="A16" s="246" t="s">
        <v>178</v>
      </c>
      <c r="B16" s="34">
        <f>SUM(B12:B13)</f>
        <v>40765.671579011672</v>
      </c>
      <c r="C16" s="34"/>
      <c r="D16" s="36">
        <f>SUM(D12:D13)</f>
        <v>13552.551719134199</v>
      </c>
      <c r="E16" s="36"/>
      <c r="F16" s="61">
        <f>IF(ISERROR(D16/B16),"n/a",D16/B16)</f>
        <v>0.33245010309389261</v>
      </c>
      <c r="G16" s="35"/>
      <c r="H16" s="56"/>
      <c r="I16" s="56"/>
      <c r="J16" s="36">
        <f>SUM(J12:J13)</f>
        <v>23515.665099950289</v>
      </c>
      <c r="K16" s="61">
        <f>IF(ISERROR(J16/B16),"n/a",J16/B16)</f>
        <v>0.57684969213305937</v>
      </c>
    </row>
    <row r="17" spans="1:11" x14ac:dyDescent="0.25">
      <c r="A17" s="246" t="s">
        <v>102</v>
      </c>
      <c r="B17" s="34">
        <f>B15</f>
        <v>91228.287589885018</v>
      </c>
      <c r="C17" s="34"/>
      <c r="D17" s="36">
        <f>SUM(D16,D15)</f>
        <v>30100.31949802996</v>
      </c>
      <c r="E17" s="36"/>
      <c r="F17" s="61">
        <f>IF(ISERROR(D17/B17),"n/a",D17/B17)</f>
        <v>0.32994502355832173</v>
      </c>
      <c r="G17" s="31"/>
      <c r="H17" s="55"/>
      <c r="I17" s="55"/>
      <c r="J17" s="36">
        <f>SUM(J16,J15)</f>
        <v>52228.469397229928</v>
      </c>
      <c r="K17" s="61">
        <f>IF(ISERROR(J17/B17),"n/a",J17/B17)</f>
        <v>0.57250301169766538</v>
      </c>
    </row>
    <row r="18" spans="1:11" ht="13" x14ac:dyDescent="0.3">
      <c r="A18" s="5"/>
      <c r="B18" s="34"/>
      <c r="C18" s="34"/>
      <c r="D18" s="36"/>
      <c r="E18" s="36"/>
      <c r="F18" s="61"/>
      <c r="G18" s="31"/>
      <c r="H18" s="55"/>
      <c r="I18" s="55"/>
      <c r="J18" s="36"/>
      <c r="K18" s="61"/>
    </row>
    <row r="19" spans="1:11" ht="13" x14ac:dyDescent="0.3">
      <c r="A19" s="14" t="s">
        <v>782</v>
      </c>
      <c r="B19" s="34"/>
      <c r="C19" s="205"/>
      <c r="D19" s="36"/>
      <c r="E19" s="205"/>
      <c r="F19" s="61"/>
      <c r="G19" s="31"/>
      <c r="H19" s="39"/>
      <c r="I19" s="55"/>
      <c r="J19" s="36"/>
      <c r="K19" s="61"/>
    </row>
    <row r="20" spans="1:11" x14ac:dyDescent="0.25">
      <c r="A20" s="60" t="s">
        <v>173</v>
      </c>
      <c r="B20" s="34"/>
      <c r="C20" s="205"/>
      <c r="D20" s="36"/>
      <c r="E20" s="205"/>
      <c r="F20" s="61"/>
      <c r="G20" s="31"/>
      <c r="H20" s="39"/>
      <c r="I20" s="55"/>
      <c r="J20" s="36"/>
      <c r="K20" s="61"/>
    </row>
    <row r="21" spans="1:11" x14ac:dyDescent="0.25">
      <c r="A21" s="246" t="s">
        <v>130</v>
      </c>
      <c r="B21" s="34">
        <f>SUM('Table 3.20-CFS Non-CIOSS'!B69,'Table 3.20-CFS Non-CIOSS'!B74)</f>
        <v>0</v>
      </c>
      <c r="C21" s="212" t="s">
        <v>238</v>
      </c>
      <c r="D21" s="36">
        <f>SUM('Table 3.20-CFS Non-CIOSS'!C69,'Table 3.20-CFS Non-CIOSS'!C74)</f>
        <v>0</v>
      </c>
      <c r="E21" s="212" t="s">
        <v>238</v>
      </c>
      <c r="F21" s="61" t="str">
        <f>IF(ISERROR(D21/B21),"n/a",D21/B21)</f>
        <v>n/a</v>
      </c>
      <c r="G21" s="31"/>
      <c r="H21" s="39">
        <v>1.7351466784479892</v>
      </c>
      <c r="I21" s="55"/>
      <c r="J21" s="36">
        <f>D21*$H21</f>
        <v>0</v>
      </c>
      <c r="K21" s="61" t="str">
        <f>IF(ISERROR(J21/B21),"n/a",J21/B21)</f>
        <v>n/a</v>
      </c>
    </row>
    <row r="22" spans="1:11" x14ac:dyDescent="0.25">
      <c r="A22" s="246" t="s">
        <v>292</v>
      </c>
      <c r="B22" s="34">
        <f>SUM('Table 3.20-CFS Non-CIOSS'!B70,'Table 3.20-CFS Non-CIOSS'!B75)</f>
        <v>38291.915393285417</v>
      </c>
      <c r="C22" s="212" t="s">
        <v>238</v>
      </c>
      <c r="D22" s="36">
        <f>SUM('Table 3.20-CFS Non-CIOSS'!C70,'Table 3.20-CFS Non-CIOSS'!C75)</f>
        <v>557.57489474875729</v>
      </c>
      <c r="E22" s="212" t="s">
        <v>238</v>
      </c>
      <c r="F22" s="61">
        <f>IF(ISERROR(D22/B22),"n/a",D22/B22)</f>
        <v>1.4561164909669926E-2</v>
      </c>
      <c r="G22" s="31"/>
      <c r="H22" s="39">
        <v>1.7351466784479892</v>
      </c>
      <c r="I22" s="55"/>
      <c r="J22" s="36">
        <f>D22*$H22</f>
        <v>967.4742266092934</v>
      </c>
      <c r="K22" s="61">
        <f>IF(ISERROR(J22/B22),"n/a",J22/B22)</f>
        <v>2.5265756927347185E-2</v>
      </c>
    </row>
    <row r="23" spans="1:11" ht="5.15" customHeight="1" x14ac:dyDescent="0.25">
      <c r="A23" s="66"/>
      <c r="B23" s="34"/>
      <c r="C23" s="205"/>
      <c r="D23" s="34"/>
      <c r="E23" s="205"/>
      <c r="F23" s="61"/>
      <c r="G23" s="31"/>
      <c r="H23" s="39"/>
      <c r="I23" s="55"/>
      <c r="J23" s="34"/>
      <c r="K23" s="61"/>
    </row>
    <row r="24" spans="1:11" x14ac:dyDescent="0.25">
      <c r="A24" s="60" t="s">
        <v>176</v>
      </c>
      <c r="B24" s="34"/>
      <c r="C24" s="205"/>
      <c r="D24" s="34"/>
      <c r="E24" s="205"/>
      <c r="F24" s="61"/>
      <c r="G24" s="31"/>
      <c r="H24" s="39"/>
      <c r="I24" s="55"/>
      <c r="J24" s="34"/>
      <c r="K24" s="61"/>
    </row>
    <row r="25" spans="1:11" x14ac:dyDescent="0.25">
      <c r="A25" s="246" t="s">
        <v>130</v>
      </c>
      <c r="B25" s="34">
        <f>SUM('Table 3.20-CFS Non-CIOSS'!B80,'Table 3.20-CFS Non-CIOSS'!B85)</f>
        <v>0</v>
      </c>
      <c r="C25" s="212" t="s">
        <v>238</v>
      </c>
      <c r="D25" s="36">
        <f>SUM('Table 3.20-CFS Non-CIOSS'!C80,'Table 3.20-CFS Non-CIOSS'!C85)</f>
        <v>0</v>
      </c>
      <c r="E25" s="212" t="s">
        <v>238</v>
      </c>
      <c r="F25" s="61" t="str">
        <f>IF(ISERROR(D25/B25),"n/a",D25/B25)</f>
        <v>n/a</v>
      </c>
      <c r="G25" s="31"/>
      <c r="H25" s="39">
        <v>1.7351466784479892</v>
      </c>
      <c r="I25" s="55"/>
      <c r="J25" s="36">
        <f>D25*$H25</f>
        <v>0</v>
      </c>
      <c r="K25" s="61" t="str">
        <f>IF(ISERROR(J25/B25),"n/a",J25/B25)</f>
        <v>n/a</v>
      </c>
    </row>
    <row r="26" spans="1:11" x14ac:dyDescent="0.25">
      <c r="A26" s="246" t="s">
        <v>292</v>
      </c>
      <c r="B26" s="34">
        <f>SUM('Table 3.20-CFS Non-CIOSS'!B81,'Table 3.20-CFS Non-CIOSS'!B86)</f>
        <v>38291.915393285417</v>
      </c>
      <c r="C26" s="212" t="s">
        <v>238</v>
      </c>
      <c r="D26" s="36">
        <f>SUM('Table 3.20-CFS Non-CIOSS'!C81,'Table 3.20-CFS Non-CIOSS'!C86)</f>
        <v>10218.168507327167</v>
      </c>
      <c r="E26" s="212" t="s">
        <v>238</v>
      </c>
      <c r="F26" s="61">
        <f>IF(ISERROR(D26/B26),"n/a",D26/B26)</f>
        <v>0.26684923964704438</v>
      </c>
      <c r="G26" s="31"/>
      <c r="H26" s="39">
        <v>1.7351466784479892</v>
      </c>
      <c r="I26" s="55"/>
      <c r="J26" s="36">
        <f>D26*$H26</f>
        <v>17730.021145310584</v>
      </c>
      <c r="K26" s="61">
        <f>IF(ISERROR(J26/B26),"n/a",J26/B26)</f>
        <v>0.46302257181994055</v>
      </c>
    </row>
    <row r="27" spans="1:11" ht="5.15" customHeight="1" x14ac:dyDescent="0.25">
      <c r="A27" s="66"/>
      <c r="B27" s="34"/>
      <c r="C27" s="205"/>
      <c r="D27" s="36"/>
      <c r="E27" s="205"/>
      <c r="F27" s="61"/>
      <c r="G27" s="31"/>
      <c r="H27" s="39"/>
      <c r="I27" s="55"/>
      <c r="J27" s="36"/>
      <c r="K27" s="61"/>
    </row>
    <row r="28" spans="1:11" x14ac:dyDescent="0.25">
      <c r="A28" s="246" t="s">
        <v>177</v>
      </c>
      <c r="B28" s="34">
        <f>SUM(B21:B22)</f>
        <v>38291.915393285417</v>
      </c>
      <c r="C28" s="205"/>
      <c r="D28" s="36">
        <f>SUM(D21:D22)</f>
        <v>557.57489474875729</v>
      </c>
      <c r="E28" s="205"/>
      <c r="F28" s="61">
        <f>IF(ISERROR(D28/B28),"n/a",D28/B28)</f>
        <v>1.4561164909669926E-2</v>
      </c>
      <c r="G28" s="31"/>
      <c r="H28" s="39">
        <v>1.7351466784479892</v>
      </c>
      <c r="I28" s="55"/>
      <c r="J28" s="36">
        <f>D28*$H28</f>
        <v>967.4742266092934</v>
      </c>
      <c r="K28" s="61">
        <f>IF(ISERROR(J28/B28),"n/a",J28/B28)</f>
        <v>2.5265756927347185E-2</v>
      </c>
    </row>
    <row r="29" spans="1:11" x14ac:dyDescent="0.25">
      <c r="A29" s="246" t="s">
        <v>178</v>
      </c>
      <c r="B29" s="34">
        <f>SUM(B25:B26)</f>
        <v>38291.915393285417</v>
      </c>
      <c r="C29" s="205"/>
      <c r="D29" s="36">
        <f>SUM(D25:D26)</f>
        <v>10218.168507327167</v>
      </c>
      <c r="E29" s="205"/>
      <c r="F29" s="61">
        <f>IF(ISERROR(D29/B29),"n/a",D29/B29)</f>
        <v>0.26684923964704438</v>
      </c>
      <c r="G29" s="31"/>
      <c r="H29" s="39">
        <v>1.7351466784479892</v>
      </c>
      <c r="I29" s="55"/>
      <c r="J29" s="36">
        <f>D29*$H29</f>
        <v>17730.021145310584</v>
      </c>
      <c r="K29" s="61">
        <f>IF(ISERROR(J29/B29),"n/a",J29/B29)</f>
        <v>0.46302257181994055</v>
      </c>
    </row>
    <row r="30" spans="1:11" ht="12.75" customHeight="1" x14ac:dyDescent="0.25">
      <c r="A30" s="246" t="s">
        <v>102</v>
      </c>
      <c r="B30" s="34">
        <f>B29</f>
        <v>38291.915393285417</v>
      </c>
      <c r="C30" s="205"/>
      <c r="D30" s="36">
        <f>SUM(D28:D29)</f>
        <v>10775.743402075925</v>
      </c>
      <c r="E30" s="205"/>
      <c r="F30" s="61">
        <f>IF(ISERROR(D30/B30),"n/a",D30/B30)</f>
        <v>0.28141040455671429</v>
      </c>
      <c r="G30" s="31"/>
      <c r="H30" s="39"/>
      <c r="I30" s="55"/>
      <c r="J30" s="36">
        <f>SUM(J28:J29)</f>
        <v>18697.495371919878</v>
      </c>
      <c r="K30" s="61">
        <f>IF(ISERROR(J30/B30),"n/a",J30/B30)</f>
        <v>0.48828832874728778</v>
      </c>
    </row>
    <row r="31" spans="1:11" ht="12.75" customHeight="1" x14ac:dyDescent="0.25">
      <c r="A31" s="250"/>
      <c r="B31" s="34"/>
      <c r="C31" s="205"/>
      <c r="D31" s="36"/>
      <c r="E31" s="205"/>
      <c r="F31" s="61"/>
      <c r="G31" s="31"/>
      <c r="H31" s="39"/>
      <c r="I31" s="55"/>
      <c r="J31" s="36"/>
      <c r="K31" s="61"/>
    </row>
    <row r="32" spans="1:11" ht="15.75" customHeight="1" x14ac:dyDescent="0.35">
      <c r="A32" s="117" t="s">
        <v>647</v>
      </c>
      <c r="D32" s="2"/>
      <c r="E32" s="2"/>
      <c r="F32" s="2"/>
      <c r="G32" s="2"/>
      <c r="H32" s="2"/>
      <c r="I32" s="2"/>
      <c r="J32" s="2"/>
      <c r="K32" s="2"/>
    </row>
    <row r="33" spans="1:11" ht="15.75" customHeight="1" x14ac:dyDescent="0.35">
      <c r="A33" s="117" t="s">
        <v>787</v>
      </c>
      <c r="D33" s="2"/>
      <c r="E33" s="2"/>
      <c r="F33" s="2"/>
      <c r="G33" s="2"/>
      <c r="H33" s="2"/>
      <c r="I33" s="2"/>
      <c r="J33" s="2"/>
      <c r="K33" s="2"/>
    </row>
    <row r="34" spans="1:11" ht="25.5" customHeight="1" x14ac:dyDescent="0.25">
      <c r="A34" s="66"/>
      <c r="B34" s="125" t="s">
        <v>222</v>
      </c>
      <c r="C34" s="125"/>
      <c r="D34" s="138" t="s">
        <v>217</v>
      </c>
      <c r="E34" s="138"/>
      <c r="F34" s="141" t="s">
        <v>104</v>
      </c>
      <c r="G34" s="141"/>
      <c r="H34" s="142" t="s">
        <v>251</v>
      </c>
      <c r="I34" s="142"/>
      <c r="J34" s="119" t="s">
        <v>218</v>
      </c>
      <c r="K34" s="31" t="s">
        <v>133</v>
      </c>
    </row>
    <row r="35" spans="1:11" ht="15.5" x14ac:dyDescent="0.35">
      <c r="A35" s="117" t="s">
        <v>435</v>
      </c>
      <c r="B35" s="125"/>
      <c r="C35" s="125"/>
      <c r="D35" s="138"/>
      <c r="E35" s="138"/>
      <c r="F35" s="141"/>
      <c r="G35" s="141"/>
      <c r="H35" s="142"/>
      <c r="I35" s="142"/>
      <c r="J35" s="119"/>
      <c r="K35" s="31"/>
    </row>
    <row r="36" spans="1:11" ht="5.15" customHeight="1" x14ac:dyDescent="0.35">
      <c r="A36" s="117"/>
      <c r="B36" s="125"/>
      <c r="C36" s="125"/>
      <c r="D36" s="138"/>
      <c r="E36" s="138"/>
      <c r="F36" s="141"/>
      <c r="G36" s="141"/>
      <c r="H36" s="142"/>
      <c r="I36" s="142"/>
      <c r="J36" s="119"/>
      <c r="K36" s="31"/>
    </row>
    <row r="37" spans="1:11" ht="13" x14ac:dyDescent="0.3">
      <c r="A37" s="345" t="s">
        <v>291</v>
      </c>
      <c r="B37" s="125"/>
      <c r="C37" s="125"/>
      <c r="D37" s="138"/>
      <c r="E37" s="138"/>
      <c r="F37" s="141"/>
      <c r="G37" s="141"/>
      <c r="H37" s="142"/>
      <c r="I37" s="142"/>
      <c r="J37" s="119"/>
      <c r="K37" s="31"/>
    </row>
    <row r="38" spans="1:11" x14ac:dyDescent="0.25">
      <c r="A38" s="60" t="s">
        <v>173</v>
      </c>
      <c r="B38" s="6"/>
      <c r="C38" s="6"/>
      <c r="D38" s="29"/>
      <c r="E38" s="29"/>
      <c r="F38" s="64"/>
      <c r="G38" s="64"/>
      <c r="H38" s="74"/>
      <c r="I38" s="39"/>
      <c r="J38" s="29"/>
      <c r="K38" s="64"/>
    </row>
    <row r="39" spans="1:11" x14ac:dyDescent="0.25">
      <c r="A39" s="246" t="s">
        <v>130</v>
      </c>
      <c r="B39" s="75">
        <f>SUM('Table 3.21-CFS CIOSS Rejs'!B7,'Table 3.21-CFS CIOSS Rejs'!B12,'Table 3.21-CFS CIOSS Rejs'!B17)</f>
        <v>0</v>
      </c>
      <c r="C39" s="212" t="s">
        <v>240</v>
      </c>
      <c r="D39" s="36">
        <f>SUM('Table 3.21-CFS CIOSS Rejs'!C7,'Table 3.21-CFS CIOSS Rejs'!C12,'Table 3.21-CFS CIOSS Rejs'!C17)</f>
        <v>0</v>
      </c>
      <c r="E39" s="212" t="s">
        <v>240</v>
      </c>
      <c r="F39" s="61" t="str">
        <f>IF(ISERROR(D39/B39),"n/a",D39/B39)</f>
        <v>n/a</v>
      </c>
      <c r="G39" s="63"/>
      <c r="H39" s="39">
        <v>1.7351466784479892</v>
      </c>
      <c r="I39" s="39"/>
      <c r="J39" s="36">
        <f>D39*$H39</f>
        <v>0</v>
      </c>
      <c r="K39" s="61" t="str">
        <f>IF(ISERROR(J39/B39),"n/a",J39/B39)</f>
        <v>n/a</v>
      </c>
    </row>
    <row r="40" spans="1:11" x14ac:dyDescent="0.25">
      <c r="A40" s="246" t="s">
        <v>292</v>
      </c>
      <c r="B40" s="75">
        <f>SUM('Table 3.21-CFS CIOSS Rejs'!B8,'Table 3.21-CFS CIOSS Rejs'!B13,'Table 3.21-CFS CIOSS Rejs'!B18)</f>
        <v>34415.857956073763</v>
      </c>
      <c r="C40" s="212" t="s">
        <v>240</v>
      </c>
      <c r="D40" s="36">
        <f>SUM('Table 3.21-CFS CIOSS Rejs'!C8,'Table 3.21-CFS CIOSS Rejs'!C13,'Table 3.21-CFS CIOSS Rejs'!C18)</f>
        <v>6221.912745986906</v>
      </c>
      <c r="E40" s="212" t="s">
        <v>240</v>
      </c>
      <c r="F40" s="61">
        <f>IF(ISERROR(D40/B40),"n/a",D40/B40)</f>
        <v>0.18078621645661613</v>
      </c>
      <c r="G40" s="63"/>
      <c r="H40" s="39">
        <v>1.7351466784479892</v>
      </c>
      <c r="I40" s="39"/>
      <c r="J40" s="36">
        <f>D40*$H40</f>
        <v>10795.931234792388</v>
      </c>
      <c r="K40" s="61">
        <f>IF(ISERROR(J40/B40),"n/a",J40/B40)</f>
        <v>0.31369060299387669</v>
      </c>
    </row>
    <row r="41" spans="1:11" ht="5.15" customHeight="1" x14ac:dyDescent="0.25">
      <c r="A41" s="66"/>
      <c r="B41" s="143"/>
      <c r="C41" s="143"/>
      <c r="D41" s="145"/>
      <c r="E41" s="143"/>
      <c r="F41" s="144"/>
      <c r="G41" s="141"/>
      <c r="H41" s="142"/>
      <c r="I41" s="142"/>
      <c r="J41" s="146"/>
      <c r="K41" s="61"/>
    </row>
    <row r="42" spans="1:11" x14ac:dyDescent="0.25">
      <c r="A42" s="60" t="s">
        <v>176</v>
      </c>
      <c r="B42" s="34"/>
      <c r="C42" s="34"/>
      <c r="D42" s="36"/>
      <c r="E42" s="34"/>
      <c r="F42" s="63"/>
      <c r="G42" s="20"/>
      <c r="H42" s="20"/>
      <c r="I42" s="20"/>
      <c r="J42" s="36"/>
      <c r="K42" s="63"/>
    </row>
    <row r="43" spans="1:11" x14ac:dyDescent="0.25">
      <c r="A43" s="246" t="s">
        <v>130</v>
      </c>
      <c r="B43" s="75">
        <f>SUM('Table 3.21-CFS CIOSS Rejs'!B23,'Table 3.21-CFS CIOSS Rejs'!B28,'Table 3.21-CFS CIOSS Rejs'!B33)</f>
        <v>0</v>
      </c>
      <c r="C43" s="212" t="s">
        <v>240</v>
      </c>
      <c r="D43" s="36">
        <f>SUM('Table 3.21-CFS CIOSS Rejs'!C23,'Table 3.21-CFS CIOSS Rejs'!C28,'Table 3.21-CFS CIOSS Rejs'!C33)</f>
        <v>0</v>
      </c>
      <c r="E43" s="212" t="s">
        <v>240</v>
      </c>
      <c r="F43" s="61" t="str">
        <f>IF(ISERROR(D43/B43),"n/a",D43/B43)</f>
        <v>n/a</v>
      </c>
      <c r="G43" s="63"/>
      <c r="H43" s="39">
        <v>1.7351466784479892</v>
      </c>
      <c r="I43" s="39"/>
      <c r="J43" s="36">
        <f>D43*$H43</f>
        <v>0</v>
      </c>
      <c r="K43" s="61" t="str">
        <f>IF(ISERROR(J43/B43),"n/a",J43/B43)</f>
        <v>n/a</v>
      </c>
    </row>
    <row r="44" spans="1:11" x14ac:dyDescent="0.25">
      <c r="A44" s="246" t="s">
        <v>292</v>
      </c>
      <c r="B44" s="75">
        <f>SUM('Table 3.21-CFS CIOSS Rejs'!B24,'Table 3.21-CFS CIOSS Rejs'!B29,'Table 3.21-CFS CIOSS Rejs'!B34)</f>
        <v>2954.2537499999999</v>
      </c>
      <c r="C44" s="212" t="s">
        <v>240</v>
      </c>
      <c r="D44" s="36">
        <f>SUM('Table 3.21-CFS CIOSS Rejs'!C24,'Table 3.21-CFS CIOSS Rejs'!C29,'Table 3.21-CFS CIOSS Rejs'!C34)</f>
        <v>982.14196375301844</v>
      </c>
      <c r="E44" s="212" t="s">
        <v>240</v>
      </c>
      <c r="F44" s="61">
        <f>IF(ISERROR(D44/B44),"n/a",D44/B44)</f>
        <v>0.3324501030938925</v>
      </c>
      <c r="G44" s="63"/>
      <c r="H44" s="39">
        <v>1.7351466784479892</v>
      </c>
      <c r="I44" s="39"/>
      <c r="J44" s="36">
        <f>D44*$H44</f>
        <v>1704.1603661704353</v>
      </c>
      <c r="K44" s="61">
        <f>IF(ISERROR(J44/B44),"n/a",J44/B44)</f>
        <v>0.57684969213305914</v>
      </c>
    </row>
    <row r="45" spans="1:11" ht="5.15" customHeight="1" x14ac:dyDescent="0.25">
      <c r="A45" s="66"/>
      <c r="B45" s="143"/>
      <c r="C45" s="143"/>
      <c r="D45" s="145"/>
      <c r="E45" s="143"/>
      <c r="F45" s="144"/>
      <c r="G45" s="141"/>
      <c r="H45" s="142"/>
      <c r="I45" s="142"/>
      <c r="J45" s="146"/>
      <c r="K45" s="61"/>
    </row>
    <row r="46" spans="1:11" x14ac:dyDescent="0.25">
      <c r="A46" s="246" t="s">
        <v>177</v>
      </c>
      <c r="B46" s="34">
        <f>SUM(B39:B40)</f>
        <v>34415.857956073763</v>
      </c>
      <c r="C46" s="34"/>
      <c r="D46" s="36">
        <f>SUM(D39:D40)</f>
        <v>6221.912745986906</v>
      </c>
      <c r="E46" s="34"/>
      <c r="F46" s="61">
        <f>IF(ISERROR(D46/B46),"n/a",D46/B46)</f>
        <v>0.18078621645661613</v>
      </c>
      <c r="G46" s="31"/>
      <c r="H46" s="55"/>
      <c r="I46" s="55"/>
      <c r="J46" s="36">
        <f>SUM(J39:J40)</f>
        <v>10795.931234792388</v>
      </c>
      <c r="K46" s="61">
        <f>IF(ISERROR(J46/B46),"n/a",J46/B46)</f>
        <v>0.31369060299387669</v>
      </c>
    </row>
    <row r="47" spans="1:11" x14ac:dyDescent="0.25">
      <c r="A47" s="246" t="s">
        <v>178</v>
      </c>
      <c r="B47" s="34">
        <f>SUM(B43:B44)</f>
        <v>2954.2537499999999</v>
      </c>
      <c r="C47" s="34"/>
      <c r="D47" s="36">
        <f>SUM(D43:D44)</f>
        <v>982.14196375301844</v>
      </c>
      <c r="E47" s="34"/>
      <c r="F47" s="61">
        <f>IF(ISERROR(D47/B47),"n/a",D47/B47)</f>
        <v>0.3324501030938925</v>
      </c>
      <c r="G47" s="35"/>
      <c r="H47" s="56"/>
      <c r="I47" s="56"/>
      <c r="J47" s="36">
        <f>SUM(J43:J44)</f>
        <v>1704.1603661704353</v>
      </c>
      <c r="K47" s="61">
        <f>IF(ISERROR(J47/B47),"n/a",J47/B47)</f>
        <v>0.57684969213305914</v>
      </c>
    </row>
    <row r="48" spans="1:11" x14ac:dyDescent="0.25">
      <c r="A48" s="246" t="s">
        <v>102</v>
      </c>
      <c r="B48" s="34">
        <f>B46</f>
        <v>34415.857956073763</v>
      </c>
      <c r="C48" s="34"/>
      <c r="D48" s="36">
        <f>SUM(D47,D46)</f>
        <v>7204.0547097399249</v>
      </c>
      <c r="E48" s="34"/>
      <c r="F48" s="61">
        <f>IF(ISERROR(D48/B48),"n/a",D48/B48)</f>
        <v>0.20932369952638483</v>
      </c>
      <c r="G48" s="31"/>
      <c r="H48" s="55"/>
      <c r="I48" s="55"/>
      <c r="J48" s="36">
        <f>SUM(J47,J46)</f>
        <v>12500.091600962824</v>
      </c>
      <c r="K48" s="61">
        <f>IF(ISERROR(J48/B48),"n/a",J48/B48)</f>
        <v>0.36320732195365157</v>
      </c>
    </row>
    <row r="49" spans="1:11" ht="13" x14ac:dyDescent="0.3">
      <c r="A49" s="5"/>
      <c r="B49" s="34"/>
      <c r="C49" s="34"/>
      <c r="D49" s="36"/>
      <c r="E49" s="34"/>
      <c r="F49" s="61"/>
      <c r="G49" s="31"/>
      <c r="H49" s="55"/>
      <c r="I49" s="55"/>
      <c r="J49" s="36"/>
      <c r="K49" s="61"/>
    </row>
    <row r="50" spans="1:11" ht="13" x14ac:dyDescent="0.3">
      <c r="A50" s="14" t="s">
        <v>782</v>
      </c>
      <c r="B50" s="34"/>
      <c r="C50" s="205"/>
      <c r="D50" s="36"/>
      <c r="E50" s="205"/>
      <c r="F50" s="61"/>
      <c r="G50" s="31"/>
      <c r="H50" s="39"/>
      <c r="I50" s="55"/>
      <c r="J50" s="36"/>
      <c r="K50" s="61"/>
    </row>
    <row r="51" spans="1:11" x14ac:dyDescent="0.25">
      <c r="A51" s="60" t="s">
        <v>173</v>
      </c>
      <c r="B51" s="34"/>
      <c r="C51" s="205"/>
      <c r="D51" s="36"/>
      <c r="E51" s="205"/>
      <c r="F51" s="61"/>
      <c r="G51" s="31"/>
      <c r="H51" s="39"/>
      <c r="I51" s="55"/>
      <c r="J51" s="36"/>
      <c r="K51" s="61"/>
    </row>
    <row r="52" spans="1:11" x14ac:dyDescent="0.25">
      <c r="A52" s="246" t="s">
        <v>130</v>
      </c>
      <c r="B52" s="34">
        <f>SUM('Table 3.21-CFS CIOSS Rejs'!B69,'Table 3.21-CFS CIOSS Rejs'!B74)</f>
        <v>0</v>
      </c>
      <c r="C52" s="212" t="s">
        <v>240</v>
      </c>
      <c r="D52" s="36">
        <f>SUM('Table 3.21-CFS CIOSS Rejs'!C69,'Table 3.21-CFS CIOSS Rejs'!C74)</f>
        <v>0</v>
      </c>
      <c r="E52" s="212" t="s">
        <v>240</v>
      </c>
      <c r="F52" s="61" t="str">
        <f>IF(ISERROR(D52/B52),"n/a",D52/B52)</f>
        <v>n/a</v>
      </c>
      <c r="G52" s="31"/>
      <c r="H52" s="39">
        <v>1.7351466784479892</v>
      </c>
      <c r="I52" s="55"/>
      <c r="J52" s="36">
        <f>D52*$H52</f>
        <v>0</v>
      </c>
      <c r="K52" s="61" t="str">
        <f>IF(ISERROR(J52/B52),"n/a",J52/B52)</f>
        <v>n/a</v>
      </c>
    </row>
    <row r="53" spans="1:11" x14ac:dyDescent="0.25">
      <c r="A53" s="246" t="s">
        <v>292</v>
      </c>
      <c r="B53" s="34">
        <f>SUM('Table 3.21-CFS CIOSS Rejs'!B70,'Table 3.21-CFS CIOSS Rejs'!B75)</f>
        <v>5976.6990432551929</v>
      </c>
      <c r="C53" s="212" t="s">
        <v>240</v>
      </c>
      <c r="D53" s="36">
        <f>SUM('Table 3.21-CFS CIOSS Rejs'!C70,'Table 3.21-CFS CIOSS Rejs'!C75)</f>
        <v>87.027700384304978</v>
      </c>
      <c r="E53" s="212" t="s">
        <v>240</v>
      </c>
      <c r="F53" s="61">
        <f>IF(ISERROR(D53/B53),"n/a",D53/B53)</f>
        <v>1.4561164909669867E-2</v>
      </c>
      <c r="G53" s="31"/>
      <c r="H53" s="39">
        <v>1.7351466784479892</v>
      </c>
      <c r="I53" s="55"/>
      <c r="J53" s="36">
        <f>D53*$H53</f>
        <v>151.00582525479356</v>
      </c>
      <c r="K53" s="61">
        <f>IF(ISERROR(J53/B53),"n/a",J53/B53)</f>
        <v>2.5265756927347081E-2</v>
      </c>
    </row>
    <row r="54" spans="1:11" ht="5.15" customHeight="1" x14ac:dyDescent="0.25">
      <c r="A54" s="66"/>
      <c r="B54" s="34"/>
      <c r="C54" s="205"/>
      <c r="D54" s="34"/>
      <c r="E54" s="205"/>
      <c r="F54" s="61"/>
      <c r="G54" s="31"/>
      <c r="H54" s="39"/>
      <c r="I54" s="55"/>
      <c r="J54" s="34"/>
      <c r="K54" s="61"/>
    </row>
    <row r="55" spans="1:11" x14ac:dyDescent="0.25">
      <c r="A55" s="60" t="s">
        <v>176</v>
      </c>
      <c r="B55" s="34"/>
      <c r="C55" s="205"/>
      <c r="D55" s="34"/>
      <c r="E55" s="205"/>
      <c r="F55" s="61"/>
      <c r="G55" s="31"/>
      <c r="H55" s="39"/>
      <c r="I55" s="55"/>
      <c r="J55" s="34"/>
      <c r="K55" s="61"/>
    </row>
    <row r="56" spans="1:11" x14ac:dyDescent="0.25">
      <c r="A56" s="246" t="s">
        <v>130</v>
      </c>
      <c r="B56" s="34">
        <f>SUM('Table 3.21-CFS CIOSS Rejs'!B80,'Table 3.21-CFS CIOSS Rejs'!B85)</f>
        <v>0</v>
      </c>
      <c r="C56" s="212" t="s">
        <v>240</v>
      </c>
      <c r="D56" s="36">
        <f>SUM('Table 3.21-CFS CIOSS Rejs'!C80,'Table 3.21-CFS CIOSS Rejs'!C85)</f>
        <v>0</v>
      </c>
      <c r="E56" s="212" t="s">
        <v>240</v>
      </c>
      <c r="F56" s="61" t="str">
        <f>IF(ISERROR(D56/B56),"n/a",D56/B56)</f>
        <v>n/a</v>
      </c>
      <c r="G56" s="31"/>
      <c r="H56" s="39">
        <v>1.7351466784479892</v>
      </c>
      <c r="I56" s="55"/>
      <c r="J56" s="36">
        <f>D56*$H56</f>
        <v>0</v>
      </c>
      <c r="K56" s="61" t="str">
        <f>IF(ISERROR(J56/B56),"n/a",J56/B56)</f>
        <v>n/a</v>
      </c>
    </row>
    <row r="57" spans="1:11" x14ac:dyDescent="0.25">
      <c r="A57" s="246" t="s">
        <v>292</v>
      </c>
      <c r="B57" s="34">
        <f>SUM('Table 3.21-CFS CIOSS Rejs'!B81,'Table 3.21-CFS CIOSS Rejs'!B86)</f>
        <v>5976.6990432551929</v>
      </c>
      <c r="C57" s="212" t="s">
        <v>240</v>
      </c>
      <c r="D57" s="36">
        <f>SUM('Table 3.21-CFS CIOSS Rejs'!C81,'Table 3.21-CFS CIOSS Rejs'!C86)</f>
        <v>1594.8775952918661</v>
      </c>
      <c r="E57" s="212" t="s">
        <v>240</v>
      </c>
      <c r="F57" s="61">
        <f>IF(ISERROR(D57/B57),"n/a",D57/B57)</f>
        <v>0.26684923964704443</v>
      </c>
      <c r="G57" s="31"/>
      <c r="H57" s="39">
        <v>1.7351466784479892</v>
      </c>
      <c r="I57" s="55"/>
      <c r="J57" s="36">
        <f>D57*$H57</f>
        <v>2767.3465620017978</v>
      </c>
      <c r="K57" s="61">
        <f>IF(ISERROR(J57/B57),"n/a",J57/B57)</f>
        <v>0.46302257181994061</v>
      </c>
    </row>
    <row r="58" spans="1:11" ht="5.15" customHeight="1" x14ac:dyDescent="0.25">
      <c r="A58" s="66"/>
      <c r="B58" s="34"/>
      <c r="C58" s="205"/>
      <c r="D58" s="36"/>
      <c r="E58" s="205"/>
      <c r="F58" s="61"/>
      <c r="G58" s="31"/>
      <c r="H58" s="39"/>
      <c r="I58" s="55"/>
      <c r="J58" s="36"/>
      <c r="K58" s="61"/>
    </row>
    <row r="59" spans="1:11" x14ac:dyDescent="0.25">
      <c r="A59" s="246" t="s">
        <v>177</v>
      </c>
      <c r="B59" s="34">
        <f>SUM(B52:B53)</f>
        <v>5976.6990432551929</v>
      </c>
      <c r="C59" s="205"/>
      <c r="D59" s="36">
        <f>SUM(D52:D53)</f>
        <v>87.027700384304978</v>
      </c>
      <c r="E59" s="205"/>
      <c r="F59" s="61">
        <f>IF(ISERROR(D59/B59),"n/a",D59/B59)</f>
        <v>1.4561164909669867E-2</v>
      </c>
      <c r="G59" s="31"/>
      <c r="H59" s="39">
        <v>1.7351466784479892</v>
      </c>
      <c r="I59" s="55"/>
      <c r="J59" s="36">
        <f>D59*$H59</f>
        <v>151.00582525479356</v>
      </c>
      <c r="K59" s="61">
        <f>IF(ISERROR(J59/B59),"n/a",J59/B59)</f>
        <v>2.5265756927347081E-2</v>
      </c>
    </row>
    <row r="60" spans="1:11" x14ac:dyDescent="0.25">
      <c r="A60" s="246" t="s">
        <v>178</v>
      </c>
      <c r="B60" s="34">
        <f>SUM(B56:B57)</f>
        <v>5976.6990432551929</v>
      </c>
      <c r="C60" s="205"/>
      <c r="D60" s="36">
        <f>SUM(D56:D57)</f>
        <v>1594.8775952918661</v>
      </c>
      <c r="E60" s="205"/>
      <c r="F60" s="61">
        <f>IF(ISERROR(D60/B60),"n/a",D60/B60)</f>
        <v>0.26684923964704443</v>
      </c>
      <c r="G60" s="31"/>
      <c r="H60" s="39">
        <v>1.7351466784479892</v>
      </c>
      <c r="I60" s="55"/>
      <c r="J60" s="36">
        <f>D60*$H60</f>
        <v>2767.3465620017978</v>
      </c>
      <c r="K60" s="61">
        <f>IF(ISERROR(J60/B60),"n/a",J60/B60)</f>
        <v>0.46302257181994061</v>
      </c>
    </row>
    <row r="61" spans="1:11" x14ac:dyDescent="0.25">
      <c r="A61" s="246" t="s">
        <v>102</v>
      </c>
      <c r="B61" s="34">
        <f>B60</f>
        <v>5976.6990432551929</v>
      </c>
      <c r="C61" s="205"/>
      <c r="D61" s="36">
        <f>SUM(D59:D60)</f>
        <v>1681.9052956761711</v>
      </c>
      <c r="E61" s="205"/>
      <c r="F61" s="61">
        <f>IF(ISERROR(D61/B61),"n/a",D61/B61)</f>
        <v>0.28141040455671429</v>
      </c>
      <c r="G61" s="31"/>
      <c r="H61" s="39"/>
      <c r="I61" s="55"/>
      <c r="J61" s="36">
        <f>SUM(J59:J60)</f>
        <v>2918.3523872565916</v>
      </c>
      <c r="K61" s="61">
        <f>IF(ISERROR(J61/B61),"n/a",J61/B61)</f>
        <v>0.48828832874728773</v>
      </c>
    </row>
    <row r="62" spans="1:11" x14ac:dyDescent="0.25">
      <c r="A62" s="246"/>
      <c r="B62" s="34"/>
      <c r="C62" s="205"/>
      <c r="D62" s="36"/>
      <c r="E62" s="205"/>
      <c r="F62" s="61"/>
      <c r="G62" s="31"/>
      <c r="H62" s="39"/>
      <c r="I62" s="55"/>
      <c r="J62" s="36"/>
      <c r="K62" s="61"/>
    </row>
    <row r="63" spans="1:11" ht="15.5" x14ac:dyDescent="0.35">
      <c r="A63" s="117" t="s">
        <v>648</v>
      </c>
      <c r="D63" s="2"/>
      <c r="E63" s="2"/>
      <c r="F63" s="2"/>
      <c r="G63" s="2"/>
      <c r="H63" s="2"/>
      <c r="I63" s="2"/>
      <c r="J63" s="2"/>
      <c r="K63" s="2"/>
    </row>
    <row r="64" spans="1:11" ht="15.5" x14ac:dyDescent="0.35">
      <c r="A64" s="117" t="s">
        <v>787</v>
      </c>
      <c r="D64" s="2"/>
      <c r="E64" s="2"/>
      <c r="F64" s="2"/>
      <c r="G64" s="2"/>
      <c r="H64" s="2"/>
      <c r="I64" s="2"/>
      <c r="J64" s="2"/>
      <c r="K64" s="2"/>
    </row>
    <row r="65" spans="1:11" ht="25" x14ac:dyDescent="0.25">
      <c r="A65" s="66"/>
      <c r="B65" s="125" t="s">
        <v>222</v>
      </c>
      <c r="C65" s="125"/>
      <c r="D65" s="138" t="s">
        <v>217</v>
      </c>
      <c r="E65" s="138"/>
      <c r="F65" s="141" t="s">
        <v>104</v>
      </c>
      <c r="G65" s="141"/>
      <c r="H65" s="142" t="s">
        <v>251</v>
      </c>
      <c r="I65" s="142"/>
      <c r="J65" s="119" t="s">
        <v>218</v>
      </c>
      <c r="K65" s="31" t="s">
        <v>133</v>
      </c>
    </row>
    <row r="66" spans="1:11" ht="15.5" x14ac:dyDescent="0.35">
      <c r="A66" s="335" t="s">
        <v>436</v>
      </c>
      <c r="B66" s="125"/>
      <c r="C66" s="125"/>
      <c r="D66" s="138"/>
      <c r="E66" s="138"/>
      <c r="F66" s="141"/>
      <c r="G66" s="141"/>
      <c r="H66" s="142"/>
      <c r="I66" s="142"/>
      <c r="J66" s="119"/>
      <c r="K66" s="31"/>
    </row>
    <row r="67" spans="1:11" ht="5.15" customHeight="1" x14ac:dyDescent="0.35">
      <c r="A67" s="117"/>
      <c r="B67" s="125"/>
      <c r="C67" s="125"/>
      <c r="D67" s="138"/>
      <c r="E67" s="138"/>
      <c r="F67" s="141"/>
      <c r="G67" s="141"/>
      <c r="H67" s="142"/>
      <c r="I67" s="142"/>
      <c r="J67" s="119"/>
      <c r="K67" s="31"/>
    </row>
    <row r="68" spans="1:11" ht="13" x14ac:dyDescent="0.3">
      <c r="A68" s="345" t="s">
        <v>291</v>
      </c>
      <c r="B68" s="125"/>
      <c r="C68" s="125"/>
      <c r="D68" s="138"/>
      <c r="E68" s="138"/>
      <c r="F68" s="141"/>
      <c r="G68" s="141"/>
      <c r="H68" s="142"/>
      <c r="I68" s="142"/>
      <c r="J68" s="119"/>
      <c r="K68" s="31"/>
    </row>
    <row r="69" spans="1:11" x14ac:dyDescent="0.25">
      <c r="A69" s="60" t="s">
        <v>173</v>
      </c>
      <c r="B69" s="6"/>
      <c r="C69" s="6"/>
      <c r="D69" s="29"/>
      <c r="E69" s="29"/>
      <c r="F69" s="64"/>
      <c r="G69" s="64"/>
      <c r="H69" s="74"/>
      <c r="I69" s="39"/>
      <c r="J69" s="29"/>
      <c r="K69" s="64"/>
    </row>
    <row r="70" spans="1:11" x14ac:dyDescent="0.25">
      <c r="A70" s="246" t="s">
        <v>130</v>
      </c>
      <c r="B70" s="75">
        <f>SUM(B8,B39)</f>
        <v>0</v>
      </c>
      <c r="C70" s="212"/>
      <c r="D70" s="36">
        <f>SUM(D8,D39)</f>
        <v>0</v>
      </c>
      <c r="E70" s="212"/>
      <c r="F70" s="61" t="str">
        <f>IF(ISERROR(D70/B70),"n/a",D70/B70)</f>
        <v>n/a</v>
      </c>
      <c r="G70" s="63"/>
      <c r="H70" s="39"/>
      <c r="I70" s="39"/>
      <c r="J70" s="36">
        <f>SUM(J8,J39)</f>
        <v>0</v>
      </c>
      <c r="K70" s="61" t="str">
        <f>IF(ISERROR(J70/B70),"n/a",J70/B70)</f>
        <v>n/a</v>
      </c>
    </row>
    <row r="71" spans="1:11" x14ac:dyDescent="0.25">
      <c r="A71" s="246" t="s">
        <v>292</v>
      </c>
      <c r="B71" s="75">
        <f>SUM(B9,B40)</f>
        <v>125644.14554595877</v>
      </c>
      <c r="C71" s="212"/>
      <c r="D71" s="36">
        <f>SUM(D9,D40)</f>
        <v>22769.680524882664</v>
      </c>
      <c r="E71" s="212"/>
      <c r="F71" s="61">
        <f>IF(ISERROR(D71/B71),"n/a",D71/B71)</f>
        <v>0.18122356935885922</v>
      </c>
      <c r="G71" s="63"/>
      <c r="H71" s="39"/>
      <c r="I71" s="39"/>
      <c r="J71" s="36">
        <f>SUM(J9,J40)</f>
        <v>39508.735532072023</v>
      </c>
      <c r="K71" s="61">
        <f>IF(ISERROR(J71/B71),"n/a",J71/B71)</f>
        <v>0.31444947442951338</v>
      </c>
    </row>
    <row r="72" spans="1:11" ht="5.15" customHeight="1" x14ac:dyDescent="0.25">
      <c r="A72" s="66"/>
      <c r="B72" s="143"/>
      <c r="C72" s="143"/>
      <c r="D72" s="36"/>
      <c r="E72" s="143"/>
      <c r="F72" s="144"/>
      <c r="G72" s="141"/>
      <c r="H72" s="142"/>
      <c r="I72" s="142"/>
      <c r="J72" s="36"/>
      <c r="K72" s="61"/>
    </row>
    <row r="73" spans="1:11" x14ac:dyDescent="0.25">
      <c r="A73" s="60" t="s">
        <v>176</v>
      </c>
      <c r="B73" s="34"/>
      <c r="C73" s="34"/>
      <c r="D73" s="36"/>
      <c r="E73" s="34"/>
      <c r="F73" s="63"/>
      <c r="G73" s="20"/>
      <c r="H73" s="20"/>
      <c r="I73" s="20"/>
      <c r="J73" s="36"/>
      <c r="K73" s="63"/>
    </row>
    <row r="74" spans="1:11" x14ac:dyDescent="0.25">
      <c r="A74" s="246" t="s">
        <v>130</v>
      </c>
      <c r="B74" s="75">
        <f>SUM(B12,B43)</f>
        <v>0</v>
      </c>
      <c r="C74" s="212"/>
      <c r="D74" s="36">
        <f>SUM(D12,D43)</f>
        <v>0</v>
      </c>
      <c r="E74" s="212"/>
      <c r="F74" s="61" t="str">
        <f>IF(ISERROR(D74/B74),"n/a",D74/B74)</f>
        <v>n/a</v>
      </c>
      <c r="G74" s="63"/>
      <c r="H74" s="39"/>
      <c r="I74" s="39"/>
      <c r="J74" s="36">
        <f>SUM(J12,J43)</f>
        <v>0</v>
      </c>
      <c r="K74" s="61" t="str">
        <f>IF(ISERROR(J74/B74),"n/a",J74/B74)</f>
        <v>n/a</v>
      </c>
    </row>
    <row r="75" spans="1:11" x14ac:dyDescent="0.25">
      <c r="A75" s="246" t="s">
        <v>292</v>
      </c>
      <c r="B75" s="75">
        <f>SUM(B13,B44)</f>
        <v>43719.925329011676</v>
      </c>
      <c r="C75" s="212"/>
      <c r="D75" s="36">
        <f>SUM(D13,D44)</f>
        <v>14534.693682887217</v>
      </c>
      <c r="E75" s="212"/>
      <c r="F75" s="61">
        <f>IF(ISERROR(D75/B75),"n/a",D75/B75)</f>
        <v>0.33245010309389256</v>
      </c>
      <c r="G75" s="63"/>
      <c r="H75" s="39"/>
      <c r="I75" s="39"/>
      <c r="J75" s="36">
        <f>SUM(J13,J44)</f>
        <v>25219.825466120725</v>
      </c>
      <c r="K75" s="61">
        <f>IF(ISERROR(J75/B75),"n/a",J75/B75)</f>
        <v>0.57684969213305926</v>
      </c>
    </row>
    <row r="76" spans="1:11" ht="5.15" customHeight="1" x14ac:dyDescent="0.25">
      <c r="A76" s="66"/>
      <c r="B76" s="143"/>
      <c r="C76" s="143"/>
      <c r="D76" s="145"/>
      <c r="E76" s="143"/>
      <c r="F76" s="144"/>
      <c r="G76" s="141"/>
      <c r="H76" s="142"/>
      <c r="I76" s="142"/>
      <c r="J76" s="145"/>
      <c r="K76" s="61"/>
    </row>
    <row r="77" spans="1:11" x14ac:dyDescent="0.25">
      <c r="A77" s="246" t="s">
        <v>177</v>
      </c>
      <c r="B77" s="34">
        <f>SUM(B70:B71)</f>
        <v>125644.14554595877</v>
      </c>
      <c r="C77" s="34"/>
      <c r="D77" s="36">
        <f>SUM(D70:D71)</f>
        <v>22769.680524882664</v>
      </c>
      <c r="E77" s="34"/>
      <c r="F77" s="61">
        <f>IF(ISERROR(D77/B77),"n/a",D77/B77)</f>
        <v>0.18122356935885922</v>
      </c>
      <c r="G77" s="31"/>
      <c r="H77" s="55"/>
      <c r="I77" s="55"/>
      <c r="J77" s="36">
        <f>SUM(J70:J71)</f>
        <v>39508.735532072023</v>
      </c>
      <c r="K77" s="61">
        <f>IF(ISERROR(J77/B77),"n/a",J77/B77)</f>
        <v>0.31444947442951338</v>
      </c>
    </row>
    <row r="78" spans="1:11" x14ac:dyDescent="0.25">
      <c r="A78" s="246" t="s">
        <v>178</v>
      </c>
      <c r="B78" s="34">
        <f>SUM(B74:B75)</f>
        <v>43719.925329011676</v>
      </c>
      <c r="C78" s="34"/>
      <c r="D78" s="36">
        <f>SUM(D74:D75)</f>
        <v>14534.693682887217</v>
      </c>
      <c r="E78" s="34"/>
      <c r="F78" s="61">
        <f>IF(ISERROR(D78/B78),"n/a",D78/B78)</f>
        <v>0.33245010309389256</v>
      </c>
      <c r="G78" s="35"/>
      <c r="H78" s="56"/>
      <c r="I78" s="56"/>
      <c r="J78" s="36">
        <f>SUM(J74:J75)</f>
        <v>25219.825466120725</v>
      </c>
      <c r="K78" s="61">
        <f>IF(ISERROR(J78/B78),"n/a",J78/B78)</f>
        <v>0.57684969213305926</v>
      </c>
    </row>
    <row r="79" spans="1:11" x14ac:dyDescent="0.25">
      <c r="A79" s="246" t="s">
        <v>102</v>
      </c>
      <c r="B79" s="34">
        <f>B77</f>
        <v>125644.14554595877</v>
      </c>
      <c r="C79" s="34"/>
      <c r="D79" s="36">
        <f>SUM(D78,D77)</f>
        <v>37304.374207769884</v>
      </c>
      <c r="E79" s="34"/>
      <c r="F79" s="61">
        <f>IF(ISERROR(D79/B79),"n/a",D79/B79)</f>
        <v>0.29690499342943516</v>
      </c>
      <c r="G79" s="31"/>
      <c r="H79" s="55"/>
      <c r="I79" s="55"/>
      <c r="J79" s="36">
        <f>SUM(J78,J77)</f>
        <v>64728.560998192748</v>
      </c>
      <c r="K79" s="61">
        <f>IF(ISERROR(J79/B79),"n/a",J79/B79)</f>
        <v>0.51517371316370641</v>
      </c>
    </row>
    <row r="80" spans="1:11" ht="13" x14ac:dyDescent="0.3">
      <c r="A80" s="5"/>
      <c r="B80" s="34"/>
      <c r="C80" s="34"/>
      <c r="D80" s="36"/>
      <c r="E80" s="34"/>
      <c r="F80" s="61"/>
      <c r="G80" s="31"/>
      <c r="H80" s="55"/>
      <c r="I80" s="55"/>
      <c r="J80" s="36"/>
      <c r="K80" s="61"/>
    </row>
    <row r="81" spans="1:14" ht="13" x14ac:dyDescent="0.3">
      <c r="A81" s="14" t="s">
        <v>782</v>
      </c>
      <c r="B81" s="34"/>
      <c r="C81" s="205"/>
      <c r="D81" s="36"/>
      <c r="E81" s="205"/>
      <c r="F81" s="61"/>
      <c r="G81" s="31"/>
      <c r="H81" s="39"/>
      <c r="I81" s="55"/>
      <c r="J81" s="36"/>
      <c r="K81" s="61"/>
    </row>
    <row r="82" spans="1:14" x14ac:dyDescent="0.25">
      <c r="A82" s="60" t="s">
        <v>173</v>
      </c>
      <c r="B82" s="34"/>
      <c r="C82" s="205"/>
      <c r="D82" s="36"/>
      <c r="E82" s="205"/>
      <c r="F82" s="61"/>
      <c r="G82" s="31"/>
      <c r="H82" s="39"/>
      <c r="I82" s="55"/>
      <c r="J82" s="36"/>
      <c r="K82" s="61"/>
    </row>
    <row r="83" spans="1:14" x14ac:dyDescent="0.25">
      <c r="A83" s="246" t="s">
        <v>130</v>
      </c>
      <c r="B83" s="75">
        <f>SUM(B21,B52)</f>
        <v>0</v>
      </c>
      <c r="C83" s="212"/>
      <c r="D83" s="36">
        <f>SUM(D21,D52)</f>
        <v>0</v>
      </c>
      <c r="E83" s="212"/>
      <c r="F83" s="61" t="str">
        <f>IF(ISERROR(D83/B83),"n/a",D83/B83)</f>
        <v>n/a</v>
      </c>
      <c r="G83" s="31"/>
      <c r="H83" s="39"/>
      <c r="I83" s="55"/>
      <c r="J83" s="36">
        <f>SUM(J21,J52)</f>
        <v>0</v>
      </c>
      <c r="K83" s="61" t="str">
        <f>IF(ISERROR(J83/B83),"n/a",J83/B83)</f>
        <v>n/a</v>
      </c>
    </row>
    <row r="84" spans="1:14" x14ac:dyDescent="0.25">
      <c r="A84" s="246" t="s">
        <v>292</v>
      </c>
      <c r="B84" s="75">
        <f>SUM(B22,B53)</f>
        <v>44268.614436540607</v>
      </c>
      <c r="C84" s="212"/>
      <c r="D84" s="36">
        <f>SUM(D22,D53)</f>
        <v>644.60259513306232</v>
      </c>
      <c r="E84" s="212"/>
      <c r="F84" s="61">
        <f>IF(ISERROR(D84/B84),"n/a",D84/B84)</f>
        <v>1.4561164909669921E-2</v>
      </c>
      <c r="G84" s="31"/>
      <c r="H84" s="39"/>
      <c r="I84" s="55"/>
      <c r="J84" s="36">
        <f>SUM(J22,J53)</f>
        <v>1118.480051864087</v>
      </c>
      <c r="K84" s="61">
        <f>IF(ISERROR(J84/B84),"n/a",J84/B84)</f>
        <v>2.5265756927347175E-2</v>
      </c>
    </row>
    <row r="85" spans="1:14" ht="5.15" customHeight="1" x14ac:dyDescent="0.25">
      <c r="A85" s="66"/>
      <c r="B85" s="34"/>
      <c r="C85" s="205"/>
      <c r="D85" s="36"/>
      <c r="E85" s="205"/>
      <c r="F85" s="61"/>
      <c r="G85" s="31"/>
      <c r="H85" s="39"/>
      <c r="I85" s="55"/>
      <c r="J85" s="36"/>
      <c r="K85" s="61"/>
    </row>
    <row r="86" spans="1:14" x14ac:dyDescent="0.25">
      <c r="A86" s="60" t="s">
        <v>176</v>
      </c>
      <c r="B86" s="34"/>
      <c r="C86" s="205"/>
      <c r="D86" s="36"/>
      <c r="E86" s="205"/>
      <c r="F86" s="61"/>
      <c r="G86" s="31"/>
      <c r="H86" s="39"/>
      <c r="I86" s="55"/>
      <c r="J86" s="36"/>
      <c r="K86" s="61"/>
    </row>
    <row r="87" spans="1:14" x14ac:dyDescent="0.25">
      <c r="A87" s="246" t="s">
        <v>130</v>
      </c>
      <c r="B87" s="75">
        <f>SUM(B25,B56)</f>
        <v>0</v>
      </c>
      <c r="C87" s="212"/>
      <c r="D87" s="36">
        <f>SUM(D25,D56)</f>
        <v>0</v>
      </c>
      <c r="E87" s="212"/>
      <c r="F87" s="61" t="str">
        <f>IF(ISERROR(D87/B87),"n/a",D87/B87)</f>
        <v>n/a</v>
      </c>
      <c r="G87" s="31"/>
      <c r="H87" s="39"/>
      <c r="I87" s="55"/>
      <c r="J87" s="36">
        <f>SUM(J25,J56)</f>
        <v>0</v>
      </c>
      <c r="K87" s="61" t="str">
        <f>IF(ISERROR(J87/B87),"n/a",J87/B87)</f>
        <v>n/a</v>
      </c>
    </row>
    <row r="88" spans="1:14" x14ac:dyDescent="0.25">
      <c r="A88" s="246" t="s">
        <v>292</v>
      </c>
      <c r="B88" s="75">
        <f>SUM(B26,B57)</f>
        <v>44268.614436540607</v>
      </c>
      <c r="C88" s="212"/>
      <c r="D88" s="36">
        <f>SUM(D26,D57)</f>
        <v>11813.046102619033</v>
      </c>
      <c r="E88" s="212"/>
      <c r="F88" s="61">
        <f>IF(ISERROR(D88/B88),"n/a",D88/B88)</f>
        <v>0.26684923964704438</v>
      </c>
      <c r="G88" s="31"/>
      <c r="H88" s="39"/>
      <c r="I88" s="55"/>
      <c r="J88" s="36">
        <f>SUM(J26,J57)</f>
        <v>20497.367707312384</v>
      </c>
      <c r="K88" s="61">
        <f>IF(ISERROR(J88/B88),"n/a",J88/B88)</f>
        <v>0.46302257181994061</v>
      </c>
    </row>
    <row r="89" spans="1:14" ht="5.15" customHeight="1" x14ac:dyDescent="0.25">
      <c r="A89" s="66"/>
      <c r="B89" s="34"/>
      <c r="C89" s="205"/>
      <c r="D89" s="36"/>
      <c r="E89" s="205"/>
      <c r="F89" s="61"/>
      <c r="G89" s="31"/>
      <c r="H89" s="39"/>
      <c r="I89" s="55"/>
      <c r="J89" s="36"/>
      <c r="K89" s="61"/>
    </row>
    <row r="90" spans="1:14" x14ac:dyDescent="0.25">
      <c r="A90" s="246" t="s">
        <v>177</v>
      </c>
      <c r="B90" s="34">
        <f>SUM(B83:B84)</f>
        <v>44268.614436540607</v>
      </c>
      <c r="C90" s="205"/>
      <c r="D90" s="36">
        <f>SUM(D83:D84)</f>
        <v>644.60259513306232</v>
      </c>
      <c r="E90" s="205"/>
      <c r="F90" s="61">
        <f>IF(ISERROR(D90/B90),"n/a",D90/B90)</f>
        <v>1.4561164909669921E-2</v>
      </c>
      <c r="G90" s="31"/>
      <c r="H90" s="39"/>
      <c r="I90" s="55"/>
      <c r="J90" s="36">
        <f>SUM(J83:J84)</f>
        <v>1118.480051864087</v>
      </c>
      <c r="K90" s="61">
        <f>IF(ISERROR(J90/B90),"n/a",J90/B90)</f>
        <v>2.5265756927347175E-2</v>
      </c>
    </row>
    <row r="91" spans="1:14" x14ac:dyDescent="0.25">
      <c r="A91" s="246" t="s">
        <v>178</v>
      </c>
      <c r="B91" s="34">
        <f>SUM(B87:B88)</f>
        <v>44268.614436540607</v>
      </c>
      <c r="C91" s="205"/>
      <c r="D91" s="36">
        <f>SUM(D87:D88)</f>
        <v>11813.046102619033</v>
      </c>
      <c r="E91" s="205"/>
      <c r="F91" s="61">
        <f>IF(ISERROR(D91/B91),"n/a",D91/B91)</f>
        <v>0.26684923964704438</v>
      </c>
      <c r="G91" s="31"/>
      <c r="H91" s="39"/>
      <c r="I91" s="55"/>
      <c r="J91" s="36">
        <f>SUM(J87:J88)</f>
        <v>20497.367707312384</v>
      </c>
      <c r="K91" s="61">
        <f>IF(ISERROR(J91/B91),"n/a",J91/B91)</f>
        <v>0.46302257181994061</v>
      </c>
    </row>
    <row r="92" spans="1:14" x14ac:dyDescent="0.25">
      <c r="A92" s="246" t="s">
        <v>102</v>
      </c>
      <c r="B92" s="34">
        <f>B91</f>
        <v>44268.614436540607</v>
      </c>
      <c r="C92" s="205"/>
      <c r="D92" s="36">
        <f>SUM(D90:D91)</f>
        <v>12457.648697752096</v>
      </c>
      <c r="E92" s="205"/>
      <c r="F92" s="61">
        <f>IF(ISERROR(D92/B92),"n/a",D92/B92)</f>
        <v>0.28141040455671434</v>
      </c>
      <c r="G92" s="31"/>
      <c r="H92" s="39"/>
      <c r="I92" s="55"/>
      <c r="J92" s="36">
        <f>SUM(J90:J91)</f>
        <v>21615.847759176471</v>
      </c>
      <c r="K92" s="61">
        <f>IF(ISERROR(J92/B92),"n/a",J92/B92)</f>
        <v>0.48828832874728784</v>
      </c>
    </row>
    <row r="93" spans="1:14" hidden="1" x14ac:dyDescent="0.25">
      <c r="A93" s="246"/>
      <c r="B93" s="34"/>
      <c r="C93" s="205"/>
      <c r="D93" s="36"/>
      <c r="E93" s="205"/>
      <c r="F93" s="61"/>
      <c r="G93" s="31"/>
      <c r="H93" s="39"/>
      <c r="I93" s="55"/>
      <c r="J93" s="36"/>
      <c r="K93" s="61"/>
    </row>
    <row r="94" spans="1:14" hidden="1" x14ac:dyDescent="0.25">
      <c r="A94" s="246"/>
      <c r="B94" s="34"/>
      <c r="C94" s="205"/>
      <c r="D94" s="36"/>
      <c r="E94" s="205"/>
      <c r="F94" s="61"/>
      <c r="G94" s="31"/>
      <c r="H94" s="39"/>
      <c r="I94" s="55"/>
      <c r="J94" s="36"/>
      <c r="K94" s="61"/>
    </row>
    <row r="95" spans="1:14" hidden="1" x14ac:dyDescent="0.25">
      <c r="B95" s="13" t="s">
        <v>193</v>
      </c>
      <c r="C95" s="13"/>
      <c r="D95" s="36"/>
      <c r="E95" s="205"/>
      <c r="F95" s="61"/>
      <c r="G95" s="31"/>
      <c r="H95" s="39"/>
      <c r="I95" s="55"/>
      <c r="J95" s="36"/>
      <c r="K95" s="61"/>
    </row>
    <row r="96" spans="1:14" hidden="1" x14ac:dyDescent="0.25">
      <c r="B96" s="13" t="s">
        <v>194</v>
      </c>
      <c r="C96" s="13"/>
      <c r="D96" s="24">
        <f>SUM(D9,D13)</f>
        <v>30100.31949802996</v>
      </c>
      <c r="E96" s="24"/>
      <c r="F96" s="24">
        <f>'Table 3.20-CFS Non-CIOSS'!C91-'Table 3.20-CFS Non-CIOSS'!C94</f>
        <v>30100.31949802996</v>
      </c>
      <c r="G96" s="95"/>
      <c r="H96" s="94">
        <f>D96-F96</f>
        <v>0</v>
      </c>
      <c r="I96" s="4"/>
      <c r="J96" s="4"/>
      <c r="K96" s="24">
        <f>D40+D44</f>
        <v>7204.0547097399249</v>
      </c>
      <c r="L96" s="24">
        <f>'Table 3.21-CFS CIOSS Rejs'!C91-'Table 3.21-CFS CIOSS Rejs'!C94</f>
        <v>7204.054709739924</v>
      </c>
      <c r="M96" s="94">
        <f>K96-L96</f>
        <v>0</v>
      </c>
      <c r="N96" s="261"/>
    </row>
    <row r="97" spans="1:14" hidden="1" x14ac:dyDescent="0.25">
      <c r="B97" s="13" t="s">
        <v>195</v>
      </c>
      <c r="C97" s="13"/>
      <c r="D97" s="24">
        <f>SUM(D96:D96)</f>
        <v>30100.31949802996</v>
      </c>
      <c r="E97" s="24"/>
      <c r="F97" s="24">
        <f>SUM(F96:F96)</f>
        <v>30100.31949802996</v>
      </c>
      <c r="G97" s="95"/>
      <c r="H97" s="94">
        <f>D97-F97</f>
        <v>0</v>
      </c>
      <c r="I97" s="4"/>
      <c r="J97" s="4"/>
      <c r="K97" s="24">
        <f>SUM(K96:K96)</f>
        <v>7204.0547097399249</v>
      </c>
      <c r="L97" s="24">
        <f>SUM(L96:L96)</f>
        <v>7204.054709739924</v>
      </c>
      <c r="M97" s="94">
        <f>K97-L97</f>
        <v>0</v>
      </c>
      <c r="N97" s="261"/>
    </row>
    <row r="98" spans="1:14" hidden="1" x14ac:dyDescent="0.25">
      <c r="B98" s="4"/>
      <c r="C98" s="4"/>
      <c r="D98" s="4"/>
      <c r="E98" s="4"/>
      <c r="F98" s="4"/>
      <c r="G98" s="4"/>
      <c r="H98" s="4"/>
      <c r="I98" s="4"/>
      <c r="J98" s="4"/>
      <c r="K98" s="4"/>
    </row>
    <row r="99" spans="1:14" hidden="1" x14ac:dyDescent="0.25">
      <c r="A99" s="243" t="s">
        <v>198</v>
      </c>
      <c r="B99" s="102">
        <f>SUM(B8:B9)-SUM('Table 3.20-CFS Non-CIOSS'!B9,'Table 3.20-CFS Non-CIOSS'!B14,'Table 3.20-CFS Non-CIOSS'!B19)</f>
        <v>0</v>
      </c>
      <c r="C99" s="257"/>
      <c r="D99" s="4"/>
      <c r="E99" s="4"/>
      <c r="F99" s="4"/>
      <c r="G99" s="4"/>
      <c r="H99" s="4"/>
      <c r="I99" s="4"/>
      <c r="J99" s="102">
        <f>SUM(B39:B40)-SUM('Table 3.21-CFS CIOSS Rejs'!B9,'Table 3.21-CFS CIOSS Rejs'!B14,'Table 3.21-CFS CIOSS Rejs'!B19)</f>
        <v>0</v>
      </c>
      <c r="K99" s="4"/>
    </row>
    <row r="100" spans="1:14" hidden="1" x14ac:dyDescent="0.25">
      <c r="A100" s="243" t="s">
        <v>206</v>
      </c>
      <c r="B100" s="102">
        <f>SUM(B12:B13)-SUM('Table 3.20-CFS Non-CIOSS'!B25,'Table 3.20-CFS Non-CIOSS'!B30,'Table 3.20-CFS Non-CIOSS'!B35)</f>
        <v>0</v>
      </c>
      <c r="C100" s="257"/>
      <c r="D100" s="4"/>
      <c r="E100" s="4"/>
      <c r="F100" s="4"/>
      <c r="G100" s="4"/>
      <c r="H100" s="4"/>
      <c r="I100" s="4"/>
      <c r="J100" s="102">
        <f>SUM(B43:B44)-SUM('Table 3.21-CFS CIOSS Rejs'!B25,'Table 3.21-CFS CIOSS Rejs'!B30,'Table 3.21-CFS CIOSS Rejs'!B35)</f>
        <v>0</v>
      </c>
    </row>
    <row r="101" spans="1:14" hidden="1" x14ac:dyDescent="0.25">
      <c r="A101" s="243"/>
      <c r="B101" s="257"/>
      <c r="C101" s="257"/>
      <c r="D101" s="4"/>
      <c r="E101" s="4"/>
      <c r="F101" s="4"/>
      <c r="G101" s="4"/>
      <c r="H101" s="4"/>
      <c r="I101" s="4"/>
      <c r="J101" s="4"/>
    </row>
    <row r="102" spans="1:14" hidden="1" x14ac:dyDescent="0.25">
      <c r="A102" s="243"/>
      <c r="B102" s="255" t="s">
        <v>301</v>
      </c>
      <c r="C102" s="257"/>
      <c r="D102" s="24">
        <f>D21+D25</f>
        <v>0</v>
      </c>
      <c r="E102" s="24"/>
      <c r="F102" s="24">
        <v>0</v>
      </c>
      <c r="G102" s="4"/>
      <c r="H102" s="94">
        <f>D102-F102</f>
        <v>0</v>
      </c>
      <c r="I102" s="4"/>
      <c r="J102" s="4"/>
      <c r="K102" s="24">
        <f>D52+D56</f>
        <v>0</v>
      </c>
      <c r="M102" s="94">
        <f>K102-L102</f>
        <v>0</v>
      </c>
    </row>
    <row r="103" spans="1:14" hidden="1" x14ac:dyDescent="0.25">
      <c r="A103" s="243"/>
      <c r="B103" s="255" t="s">
        <v>302</v>
      </c>
      <c r="C103" s="257"/>
      <c r="D103" s="24">
        <f>D22+D26</f>
        <v>10775.743402075925</v>
      </c>
      <c r="E103" s="24"/>
      <c r="F103" s="24">
        <v>10775.743402075925</v>
      </c>
      <c r="G103" s="4"/>
      <c r="H103" s="94">
        <f>D103-F103</f>
        <v>0</v>
      </c>
      <c r="I103" s="4"/>
      <c r="J103" s="4"/>
      <c r="K103" s="24">
        <f>D53+D57</f>
        <v>1681.9052956761711</v>
      </c>
      <c r="L103" s="24">
        <v>1681.9052956761709</v>
      </c>
      <c r="M103" s="94">
        <f>K103-L103</f>
        <v>0</v>
      </c>
    </row>
    <row r="104" spans="1:14" hidden="1" x14ac:dyDescent="0.25">
      <c r="A104" s="243"/>
      <c r="B104" s="255" t="s">
        <v>303</v>
      </c>
      <c r="C104" s="257"/>
      <c r="D104" s="24">
        <f>D30</f>
        <v>10775.743402075925</v>
      </c>
      <c r="E104" s="24"/>
      <c r="F104" s="24">
        <v>10775.743402075925</v>
      </c>
      <c r="G104" s="4"/>
      <c r="H104" s="94">
        <f>D104-F104</f>
        <v>0</v>
      </c>
      <c r="I104" s="4"/>
      <c r="J104" s="4"/>
      <c r="K104" s="24">
        <f>SUM(K102:K103)</f>
        <v>1681.9052956761711</v>
      </c>
      <c r="L104" s="24">
        <f>SUM(L102:L103)</f>
        <v>1681.9052956761709</v>
      </c>
      <c r="M104" s="94">
        <f>K104-L104</f>
        <v>0</v>
      </c>
    </row>
    <row r="105" spans="1:14" hidden="1" x14ac:dyDescent="0.25">
      <c r="A105" s="243"/>
      <c r="B105" s="255"/>
      <c r="C105" s="257"/>
      <c r="D105" s="24"/>
      <c r="E105" s="24"/>
      <c r="F105" s="24"/>
      <c r="G105" s="4"/>
      <c r="H105" s="254"/>
      <c r="I105" s="4"/>
      <c r="J105" s="4"/>
      <c r="K105" s="4"/>
    </row>
    <row r="106" spans="1:14" hidden="1" x14ac:dyDescent="0.25">
      <c r="A106" s="255" t="s">
        <v>306</v>
      </c>
      <c r="B106" s="253">
        <f>B21-'Table 3.20-CFS Non-CIOSS'!B69-'Table 3.20-CFS Non-CIOSS'!B74</f>
        <v>0</v>
      </c>
      <c r="C106" s="257"/>
      <c r="D106" s="24"/>
      <c r="E106" s="24"/>
      <c r="F106" s="24"/>
      <c r="G106" s="4"/>
      <c r="H106" s="94">
        <f>B52-'Table 3.21-CFS CIOSS Rejs'!B69-'Table 3.21-CFS CIOSS Rejs'!B74</f>
        <v>0</v>
      </c>
      <c r="I106" s="4"/>
      <c r="J106" s="4"/>
      <c r="K106" s="4"/>
    </row>
    <row r="107" spans="1:14" hidden="1" x14ac:dyDescent="0.25">
      <c r="A107" s="255" t="s">
        <v>304</v>
      </c>
      <c r="B107" s="253">
        <f>B22-'Table 3.20-CFS Non-CIOSS'!B70-'Table 3.20-CFS Non-CIOSS'!B75</f>
        <v>0</v>
      </c>
      <c r="C107" s="257"/>
      <c r="D107" s="24"/>
      <c r="E107" s="24"/>
      <c r="F107" s="24"/>
      <c r="G107" s="4"/>
      <c r="H107" s="94">
        <f>B53-'Table 3.21-CFS CIOSS Rejs'!B70-'Table 3.21-CFS CIOSS Rejs'!B75</f>
        <v>0</v>
      </c>
      <c r="I107" s="4"/>
      <c r="J107" s="4"/>
      <c r="K107" s="4"/>
    </row>
    <row r="108" spans="1:14" hidden="1" x14ac:dyDescent="0.25">
      <c r="A108" s="255" t="s">
        <v>305</v>
      </c>
      <c r="B108" s="253">
        <f>B30-'Table 3.20-CFS Non-CIOSS'!B71-'Table 3.20-CFS Non-CIOSS'!B76</f>
        <v>0</v>
      </c>
      <c r="C108" s="4"/>
      <c r="D108" s="4"/>
      <c r="E108" s="4"/>
      <c r="F108" s="4"/>
      <c r="G108" s="4"/>
      <c r="H108" s="94">
        <f>B61-'Table 3.21-CFS CIOSS Rejs'!B71-'Table 3.21-CFS CIOSS Rejs'!B76</f>
        <v>0</v>
      </c>
      <c r="I108" s="4"/>
      <c r="J108" s="4"/>
      <c r="K108" s="4"/>
    </row>
    <row r="109" spans="1:14" hidden="1" x14ac:dyDescent="0.25">
      <c r="A109" s="255"/>
      <c r="B109" s="255"/>
      <c r="C109" s="4"/>
      <c r="D109" s="4"/>
      <c r="E109" s="4"/>
      <c r="F109" s="4"/>
      <c r="G109" s="4"/>
      <c r="H109" s="254"/>
      <c r="I109" s="4"/>
      <c r="J109" s="4"/>
      <c r="K109" s="4"/>
    </row>
    <row r="110" spans="1:14" hidden="1" x14ac:dyDescent="0.25">
      <c r="A110" s="255" t="s">
        <v>437</v>
      </c>
      <c r="B110" s="253">
        <v>0</v>
      </c>
      <c r="C110" s="4"/>
      <c r="D110" s="253">
        <v>0</v>
      </c>
      <c r="E110" s="4"/>
      <c r="F110" s="4"/>
      <c r="G110" s="4"/>
      <c r="H110" s="254"/>
      <c r="I110" s="4"/>
      <c r="J110" s="4"/>
      <c r="K110" s="4"/>
    </row>
    <row r="111" spans="1:14" hidden="1" x14ac:dyDescent="0.25">
      <c r="A111" s="255" t="s">
        <v>438</v>
      </c>
      <c r="B111" s="253">
        <v>0</v>
      </c>
      <c r="C111" s="255"/>
      <c r="D111" s="253">
        <v>0</v>
      </c>
      <c r="E111" s="4"/>
      <c r="F111" s="4"/>
      <c r="G111" s="4"/>
      <c r="H111" s="254"/>
      <c r="I111" s="4"/>
      <c r="J111" s="4"/>
      <c r="K111" s="4"/>
    </row>
    <row r="112" spans="1:14" x14ac:dyDescent="0.25">
      <c r="A112" s="256"/>
      <c r="B112" s="103"/>
      <c r="C112" s="103"/>
      <c r="D112" s="103"/>
      <c r="E112" s="103"/>
      <c r="F112" s="103"/>
      <c r="G112" s="4"/>
      <c r="H112" s="4"/>
      <c r="I112" s="4"/>
      <c r="J112" s="4"/>
      <c r="K112" s="4"/>
    </row>
    <row r="113" spans="1:11" x14ac:dyDescent="0.25">
      <c r="A113" s="4" t="s">
        <v>235</v>
      </c>
      <c r="B113" s="4"/>
      <c r="C113" s="4"/>
      <c r="D113" s="4"/>
      <c r="E113" s="4"/>
      <c r="F113" s="4"/>
      <c r="G113" s="4"/>
      <c r="H113" s="4"/>
      <c r="I113" s="4"/>
      <c r="J113" s="4"/>
      <c r="K113" s="4"/>
    </row>
    <row r="114" spans="1:11" x14ac:dyDescent="0.25">
      <c r="A114" s="17" t="s">
        <v>788</v>
      </c>
      <c r="B114" s="4"/>
      <c r="C114" s="4"/>
      <c r="D114" s="4"/>
      <c r="E114" s="4"/>
      <c r="F114" s="4"/>
      <c r="G114" s="4"/>
      <c r="H114" s="4"/>
      <c r="I114" s="4"/>
      <c r="J114" s="4"/>
      <c r="K114" s="4"/>
    </row>
    <row r="115" spans="1:11" x14ac:dyDescent="0.25">
      <c r="A115" s="17" t="s">
        <v>649</v>
      </c>
      <c r="B115" s="4"/>
      <c r="C115" s="4"/>
      <c r="D115" s="4"/>
      <c r="E115" s="4"/>
      <c r="F115" s="4"/>
      <c r="G115" s="4"/>
      <c r="H115" s="4"/>
      <c r="I115" s="4"/>
      <c r="J115" s="4"/>
      <c r="K115" s="4"/>
    </row>
    <row r="116" spans="1:11" x14ac:dyDescent="0.25">
      <c r="A116" s="17" t="s">
        <v>801</v>
      </c>
      <c r="B116" s="4"/>
      <c r="C116" s="4"/>
      <c r="D116" s="4"/>
      <c r="E116" s="4"/>
      <c r="F116" s="4"/>
      <c r="G116" s="4"/>
      <c r="H116" s="4"/>
      <c r="I116" s="4"/>
      <c r="J116" s="4"/>
      <c r="K116" s="4"/>
    </row>
    <row r="117" spans="1:11" x14ac:dyDescent="0.25">
      <c r="A117" s="17" t="s">
        <v>93</v>
      </c>
      <c r="B117" s="4"/>
      <c r="C117" s="4"/>
      <c r="D117" s="4"/>
      <c r="E117" s="4"/>
      <c r="F117" s="4"/>
      <c r="G117" s="4"/>
      <c r="H117" s="4"/>
      <c r="I117" s="4"/>
      <c r="J117" s="4"/>
      <c r="K117" s="4"/>
    </row>
    <row r="118" spans="1:11" x14ac:dyDescent="0.25">
      <c r="B118" s="4"/>
      <c r="C118" s="4"/>
      <c r="D118" s="4"/>
      <c r="E118" s="4"/>
      <c r="F118" s="4"/>
      <c r="G118" s="4"/>
      <c r="H118" s="4"/>
      <c r="I118" s="4"/>
      <c r="J118" s="4"/>
      <c r="K118" s="4"/>
    </row>
    <row r="119" spans="1:11" x14ac:dyDescent="0.25">
      <c r="B119" s="4"/>
      <c r="C119" s="4"/>
      <c r="D119" s="4"/>
      <c r="E119" s="4"/>
      <c r="F119" s="4"/>
      <c r="G119" s="4"/>
      <c r="H119" s="4"/>
      <c r="I119" s="4"/>
      <c r="J119" s="4"/>
      <c r="K119" s="4"/>
    </row>
    <row r="120" spans="1:11" x14ac:dyDescent="0.25">
      <c r="B120" s="4"/>
      <c r="C120" s="4"/>
      <c r="D120" s="4"/>
      <c r="E120" s="4"/>
      <c r="F120" s="4"/>
      <c r="G120" s="4"/>
      <c r="H120" s="4"/>
      <c r="I120" s="4"/>
      <c r="J120" s="4"/>
      <c r="K120" s="4"/>
    </row>
    <row r="121" spans="1:11" x14ac:dyDescent="0.25">
      <c r="B121" s="4"/>
      <c r="C121" s="4"/>
      <c r="D121" s="4"/>
      <c r="E121" s="4"/>
      <c r="F121" s="4"/>
      <c r="G121" s="4"/>
      <c r="H121" s="4"/>
      <c r="I121" s="4"/>
      <c r="J121" s="4"/>
      <c r="K121" s="4"/>
    </row>
    <row r="122" spans="1:11" x14ac:dyDescent="0.25">
      <c r="B122" s="4"/>
      <c r="C122" s="4"/>
      <c r="D122" s="4"/>
      <c r="E122" s="4"/>
      <c r="F122" s="4"/>
      <c r="G122" s="4"/>
      <c r="H122" s="4"/>
      <c r="I122" s="4"/>
      <c r="J122" s="4"/>
      <c r="K122" s="4"/>
    </row>
    <row r="123" spans="1:11" x14ac:dyDescent="0.25">
      <c r="B123" s="4"/>
      <c r="C123" s="4"/>
      <c r="D123" s="4"/>
      <c r="E123" s="4"/>
      <c r="F123" s="4"/>
      <c r="G123" s="4"/>
      <c r="H123" s="4"/>
      <c r="I123" s="4"/>
      <c r="J123" s="4"/>
      <c r="K123" s="4"/>
    </row>
    <row r="124" spans="1:11" x14ac:dyDescent="0.25">
      <c r="B124" s="4"/>
      <c r="C124" s="4"/>
      <c r="D124" s="4"/>
      <c r="E124" s="4"/>
      <c r="F124" s="4"/>
      <c r="G124" s="4"/>
      <c r="H124" s="4"/>
      <c r="I124" s="4"/>
      <c r="J124" s="4"/>
      <c r="K124" s="4"/>
    </row>
    <row r="125" spans="1:11" x14ac:dyDescent="0.25">
      <c r="B125" s="4"/>
      <c r="C125" s="4"/>
      <c r="D125" s="4"/>
      <c r="E125" s="4"/>
      <c r="F125" s="4"/>
      <c r="G125" s="4"/>
      <c r="H125" s="4"/>
      <c r="I125" s="4"/>
      <c r="J125" s="4"/>
      <c r="K125" s="4"/>
    </row>
    <row r="126" spans="1:11" x14ac:dyDescent="0.25">
      <c r="B126" s="4"/>
      <c r="C126" s="4"/>
      <c r="D126" s="4"/>
      <c r="E126" s="4"/>
      <c r="F126" s="4"/>
      <c r="G126" s="4"/>
      <c r="H126" s="4"/>
      <c r="I126" s="4"/>
      <c r="J126" s="4"/>
      <c r="K126" s="4"/>
    </row>
    <row r="127" spans="1:11" x14ac:dyDescent="0.25">
      <c r="B127" s="4"/>
      <c r="C127" s="4"/>
      <c r="D127" s="4"/>
      <c r="E127" s="4"/>
      <c r="F127" s="4"/>
      <c r="G127" s="4"/>
      <c r="H127" s="4"/>
      <c r="I127" s="4"/>
      <c r="J127" s="4"/>
      <c r="K127" s="4"/>
    </row>
    <row r="128" spans="1:11" x14ac:dyDescent="0.25">
      <c r="B128" s="4"/>
      <c r="C128" s="4"/>
      <c r="D128" s="4"/>
      <c r="E128" s="4"/>
      <c r="F128" s="4"/>
      <c r="G128" s="4"/>
      <c r="H128" s="4"/>
      <c r="I128" s="4"/>
      <c r="J128" s="4"/>
      <c r="K128" s="4"/>
    </row>
    <row r="129" s="4" customFormat="1" x14ac:dyDescent="0.25"/>
    <row r="130" s="4" customFormat="1" x14ac:dyDescent="0.25"/>
    <row r="131" s="4" customFormat="1" x14ac:dyDescent="0.25"/>
    <row r="132" s="4" customFormat="1" x14ac:dyDescent="0.25"/>
    <row r="133" s="4" customFormat="1" x14ac:dyDescent="0.25"/>
    <row r="134" s="4" customFormat="1" x14ac:dyDescent="0.25"/>
    <row r="135" s="4" customFormat="1" x14ac:dyDescent="0.25"/>
    <row r="136" s="4" customFormat="1" x14ac:dyDescent="0.25"/>
  </sheetData>
  <phoneticPr fontId="0" type="noConversion"/>
  <printOptions horizontalCentered="1"/>
  <pageMargins left="0.75" right="0.75" top="1" bottom="1" header="0.5" footer="0.5"/>
  <pageSetup fitToHeight="3" orientation="landscape" r:id="rId1"/>
  <headerFooter alignWithMargins="0">
    <oddFooter>&amp;L&amp;F</oddFooter>
  </headerFooter>
  <rowBreaks count="2" manualBreakCount="2">
    <brk id="31" max="10" man="1"/>
    <brk id="62" max="1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dimension ref="A1:P125"/>
  <sheetViews>
    <sheetView zoomScale="70" zoomScaleNormal="70" workbookViewId="0"/>
  </sheetViews>
  <sheetFormatPr defaultRowHeight="12.5" x14ac:dyDescent="0.25"/>
  <cols>
    <col min="1" max="1" width="29.453125" customWidth="1"/>
    <col min="2" max="4" width="11.6328125" customWidth="1"/>
    <col min="5" max="5" width="2.6328125" customWidth="1"/>
    <col min="6" max="6" width="11.6328125" customWidth="1"/>
    <col min="7" max="7" width="2.6328125" customWidth="1"/>
    <col min="8" max="9" width="11.6328125" customWidth="1"/>
    <col min="11" max="11" width="9.36328125" bestFit="1" customWidth="1"/>
  </cols>
  <sheetData>
    <row r="1" spans="1:11" ht="15.75" customHeight="1" x14ac:dyDescent="0.35">
      <c r="A1" s="117" t="s">
        <v>560</v>
      </c>
    </row>
    <row r="2" spans="1:11" ht="15.75" customHeight="1" x14ac:dyDescent="0.35">
      <c r="A2" s="117" t="s">
        <v>787</v>
      </c>
    </row>
    <row r="3" spans="1:11" ht="25" x14ac:dyDescent="0.25">
      <c r="B3" s="125" t="s">
        <v>250</v>
      </c>
      <c r="C3" s="138" t="s">
        <v>249</v>
      </c>
      <c r="D3" s="8" t="s">
        <v>104</v>
      </c>
      <c r="E3" s="8"/>
      <c r="F3" s="142" t="s">
        <v>246</v>
      </c>
      <c r="G3" s="65"/>
      <c r="H3" s="119" t="s">
        <v>218</v>
      </c>
      <c r="I3" s="31" t="s">
        <v>133</v>
      </c>
      <c r="J3" s="4"/>
    </row>
    <row r="4" spans="1:11" ht="13" x14ac:dyDescent="0.3">
      <c r="A4" s="14" t="s">
        <v>291</v>
      </c>
      <c r="B4" s="125"/>
      <c r="C4" s="138"/>
      <c r="D4" s="8"/>
      <c r="E4" s="8"/>
      <c r="F4" s="142"/>
      <c r="G4" s="65"/>
      <c r="H4" s="119"/>
      <c r="I4" s="31"/>
      <c r="J4" s="4"/>
    </row>
    <row r="5" spans="1:11" ht="12.75" customHeight="1" x14ac:dyDescent="0.25">
      <c r="A5" s="66" t="s">
        <v>174</v>
      </c>
      <c r="B5" s="125"/>
      <c r="C5" s="138"/>
      <c r="D5" s="8"/>
      <c r="E5" s="8"/>
      <c r="F5" s="65"/>
      <c r="G5" s="65"/>
      <c r="H5" s="119"/>
      <c r="I5" s="31"/>
      <c r="J5" s="4"/>
    </row>
    <row r="6" spans="1:11" x14ac:dyDescent="0.25">
      <c r="A6" s="59" t="s">
        <v>278</v>
      </c>
      <c r="C6" s="29"/>
      <c r="D6" s="3"/>
      <c r="E6" s="3"/>
      <c r="F6" s="54"/>
      <c r="G6" s="54"/>
      <c r="H6" s="3"/>
      <c r="I6" s="3"/>
      <c r="J6" s="4"/>
    </row>
    <row r="7" spans="1:11" x14ac:dyDescent="0.25">
      <c r="A7" s="251" t="s">
        <v>130</v>
      </c>
      <c r="B7" s="75">
        <v>0</v>
      </c>
      <c r="C7" s="36">
        <v>0</v>
      </c>
      <c r="D7" s="61" t="str">
        <f>IF(ISERROR(C7/B7),"n/a",C7/B7)</f>
        <v>n/a</v>
      </c>
      <c r="E7" s="31"/>
      <c r="F7" s="39">
        <v>1.7351466784479892</v>
      </c>
      <c r="G7" s="55"/>
      <c r="H7" s="32">
        <f>C7*F7</f>
        <v>0</v>
      </c>
      <c r="I7" s="61" t="str">
        <f>IF(ISERROR(H7/B7),"n/a",H7/B7)</f>
        <v>n/a</v>
      </c>
      <c r="J7" s="4"/>
      <c r="K7" s="252"/>
    </row>
    <row r="8" spans="1:11" x14ac:dyDescent="0.25">
      <c r="A8" s="250" t="s">
        <v>292</v>
      </c>
      <c r="B8" s="75">
        <v>22504.486178404062</v>
      </c>
      <c r="C8" s="36">
        <v>4068.5009094938823</v>
      </c>
      <c r="D8" s="61">
        <f>IF(ISERROR(C8/B8),"n/a",C8/B8)</f>
        <v>0.18078621645661611</v>
      </c>
      <c r="E8" s="31"/>
      <c r="F8" s="39">
        <v>1.7351466784479892</v>
      </c>
      <c r="G8" s="55"/>
      <c r="H8" s="32">
        <f>C8*F8</f>
        <v>7059.4458393709328</v>
      </c>
      <c r="I8" s="61">
        <f>IF(ISERROR(H8/B8),"n/a",H8/B8)</f>
        <v>0.31369060299387663</v>
      </c>
      <c r="J8" s="4"/>
    </row>
    <row r="9" spans="1:11" x14ac:dyDescent="0.25">
      <c r="A9" s="251" t="s">
        <v>102</v>
      </c>
      <c r="B9" s="75">
        <f>SUM(B7:B8)</f>
        <v>22504.486178404062</v>
      </c>
      <c r="C9" s="108">
        <f>SUM(C7:C8)</f>
        <v>4068.5009094938823</v>
      </c>
      <c r="D9" s="61">
        <f>IF(ISERROR(C9/B9),"n/a",C9/B9)</f>
        <v>0.18078621645661611</v>
      </c>
      <c r="E9" s="31"/>
      <c r="F9" s="39"/>
      <c r="G9" s="20"/>
      <c r="H9" s="32">
        <f>SUM(H7:H8)</f>
        <v>7059.4458393709328</v>
      </c>
      <c r="I9" s="61">
        <f>H9/B9</f>
        <v>0.31369060299387663</v>
      </c>
      <c r="J9" s="4"/>
    </row>
    <row r="10" spans="1:11" ht="5.15" customHeight="1" x14ac:dyDescent="0.25">
      <c r="A10" s="60"/>
      <c r="B10" s="75"/>
      <c r="C10" s="108"/>
      <c r="D10" s="61"/>
      <c r="E10" s="31"/>
      <c r="F10" s="39"/>
      <c r="G10" s="20"/>
      <c r="H10" s="32"/>
      <c r="I10" s="61"/>
      <c r="J10" s="4"/>
    </row>
    <row r="11" spans="1:11" x14ac:dyDescent="0.25">
      <c r="A11" s="59" t="s">
        <v>274</v>
      </c>
      <c r="B11" s="13"/>
      <c r="C11" s="36"/>
      <c r="D11" s="61"/>
      <c r="E11" s="31"/>
      <c r="F11" s="55"/>
      <c r="G11" s="55"/>
      <c r="H11" s="32"/>
      <c r="I11" s="61"/>
      <c r="J11" s="4"/>
    </row>
    <row r="12" spans="1:11" x14ac:dyDescent="0.25">
      <c r="A12" s="251" t="s">
        <v>130</v>
      </c>
      <c r="B12" s="75">
        <v>0</v>
      </c>
      <c r="C12" s="36">
        <v>0</v>
      </c>
      <c r="D12" s="61" t="str">
        <f>IF(ISERROR(C12/B12),"n/a",C12/B12)</f>
        <v>n/a</v>
      </c>
      <c r="E12" s="31"/>
      <c r="F12" s="39">
        <v>1.7351466784479892</v>
      </c>
      <c r="G12" s="20"/>
      <c r="H12" s="32">
        <f>C12*F12</f>
        <v>0</v>
      </c>
      <c r="I12" s="61" t="str">
        <f>IF(ISERROR(H12/B12),"n/a",H12/B12)</f>
        <v>n/a</v>
      </c>
      <c r="J12" s="4"/>
    </row>
    <row r="13" spans="1:11" x14ac:dyDescent="0.25">
      <c r="A13" s="250" t="s">
        <v>292</v>
      </c>
      <c r="B13" s="75">
        <v>28578.893035309178</v>
      </c>
      <c r="C13" s="36">
        <v>5221.6207740762629</v>
      </c>
      <c r="D13" s="61">
        <f>IF(ISERROR(C13/B13),"n/a",C13/B13)</f>
        <v>0.18270899322884754</v>
      </c>
      <c r="E13" s="31"/>
      <c r="F13" s="39">
        <v>1.7351466784479892</v>
      </c>
      <c r="G13" s="20"/>
      <c r="H13" s="32">
        <f>C13*F13</f>
        <v>9060.2779422534459</v>
      </c>
      <c r="I13" s="61">
        <f>IF(ISERROR(H13/B13),"n/a",H13/B13)</f>
        <v>0.31702690272361095</v>
      </c>
      <c r="J13" s="4"/>
    </row>
    <row r="14" spans="1:11" x14ac:dyDescent="0.25">
      <c r="A14" s="251" t="s">
        <v>102</v>
      </c>
      <c r="B14" s="75">
        <f>SUM(B12:B13)</f>
        <v>28578.893035309178</v>
      </c>
      <c r="C14" s="108">
        <f>SUM(C12:C13)</f>
        <v>5221.6207740762629</v>
      </c>
      <c r="D14" s="61">
        <f>IF(ISERROR(C14/B14),"n/a",C14/B14)</f>
        <v>0.18270899322884754</v>
      </c>
      <c r="E14" s="31"/>
      <c r="F14" s="39"/>
      <c r="G14" s="20"/>
      <c r="H14" s="32">
        <f>SUM(H12:H13)</f>
        <v>9060.2779422534459</v>
      </c>
      <c r="I14" s="61">
        <f>H14/B14</f>
        <v>0.31702690272361095</v>
      </c>
      <c r="J14" s="4"/>
    </row>
    <row r="15" spans="1:11" ht="5.15" customHeight="1" x14ac:dyDescent="0.25">
      <c r="A15" s="60"/>
      <c r="B15" s="75"/>
      <c r="C15" s="108"/>
      <c r="D15" s="61"/>
      <c r="E15" s="31"/>
      <c r="F15" s="39"/>
      <c r="G15" s="20"/>
      <c r="H15" s="32"/>
      <c r="I15" s="61"/>
      <c r="J15" s="4"/>
    </row>
    <row r="16" spans="1:11" x14ac:dyDescent="0.25">
      <c r="A16" s="59" t="s">
        <v>279</v>
      </c>
      <c r="B16" s="75"/>
      <c r="C16" s="36"/>
      <c r="D16" s="63"/>
      <c r="E16" s="63"/>
      <c r="F16" s="39"/>
      <c r="G16" s="39"/>
      <c r="H16" s="36"/>
      <c r="I16" s="63"/>
      <c r="J16" s="4"/>
    </row>
    <row r="17" spans="1:10" x14ac:dyDescent="0.25">
      <c r="A17" s="251" t="s">
        <v>130</v>
      </c>
      <c r="B17" s="75">
        <v>0</v>
      </c>
      <c r="C17" s="36">
        <v>0</v>
      </c>
      <c r="D17" s="61" t="str">
        <f>IF(ISERROR(C17/B17),"n/a",C17/B17)</f>
        <v>n/a</v>
      </c>
      <c r="E17" s="31"/>
      <c r="F17" s="39">
        <v>1.7351466784479892</v>
      </c>
      <c r="G17" s="39"/>
      <c r="H17" s="32">
        <f>C17*F17</f>
        <v>0</v>
      </c>
      <c r="I17" s="61" t="str">
        <f>IF(ISERROR(H17/B17),"n/a",H17/B17)</f>
        <v>n/a</v>
      </c>
      <c r="J17" s="4"/>
    </row>
    <row r="18" spans="1:10" x14ac:dyDescent="0.25">
      <c r="A18" s="250" t="s">
        <v>292</v>
      </c>
      <c r="B18" s="75">
        <v>40144.908376171777</v>
      </c>
      <c r="C18" s="36">
        <v>7257.6460953256137</v>
      </c>
      <c r="D18" s="61">
        <f>IF(ISERROR(C18/B18),"n/a",C18/B18)</f>
        <v>0.18078621645661616</v>
      </c>
      <c r="E18" s="31"/>
      <c r="F18" s="39">
        <v>1.7351466784479892</v>
      </c>
      <c r="G18" s="39"/>
      <c r="H18" s="32">
        <f>C18*F18</f>
        <v>12593.080515655258</v>
      </c>
      <c r="I18" s="61">
        <f>IF(ISERROR(H18/B18),"n/a",H18/B18)</f>
        <v>0.31369060299387674</v>
      </c>
      <c r="J18" s="4"/>
    </row>
    <row r="19" spans="1:10" x14ac:dyDescent="0.25">
      <c r="A19" s="251" t="s">
        <v>102</v>
      </c>
      <c r="B19" s="75">
        <f>SUM(B17:B18)</f>
        <v>40144.908376171777</v>
      </c>
      <c r="C19" s="108">
        <f>SUM(C17:C18)</f>
        <v>7257.6460953256137</v>
      </c>
      <c r="D19" s="61">
        <f>IF(ISERROR(C19/B19),"n/a",C19/B19)</f>
        <v>0.18078621645661616</v>
      </c>
      <c r="E19" s="31"/>
      <c r="F19" s="39"/>
      <c r="G19" s="20"/>
      <c r="H19" s="32">
        <f>SUM(H17:H18)</f>
        <v>12593.080515655258</v>
      </c>
      <c r="I19" s="61">
        <f>H19/B19</f>
        <v>0.31369060299387674</v>
      </c>
      <c r="J19" s="4"/>
    </row>
    <row r="20" spans="1:10" x14ac:dyDescent="0.25">
      <c r="A20" s="4"/>
      <c r="B20" s="75"/>
      <c r="C20" s="108"/>
      <c r="D20" s="61"/>
      <c r="E20" s="31"/>
      <c r="F20" s="39"/>
      <c r="G20" s="20"/>
      <c r="H20" s="32"/>
      <c r="I20" s="61"/>
      <c r="J20" s="4"/>
    </row>
    <row r="21" spans="1:10" x14ac:dyDescent="0.25">
      <c r="A21" s="66" t="s">
        <v>175</v>
      </c>
      <c r="B21" s="13"/>
      <c r="C21" s="36"/>
      <c r="D21" s="63"/>
      <c r="E21" s="35"/>
      <c r="F21" s="56"/>
      <c r="G21" s="56"/>
      <c r="H21" s="36"/>
      <c r="I21" s="63"/>
      <c r="J21" s="4"/>
    </row>
    <row r="22" spans="1:10" x14ac:dyDescent="0.25">
      <c r="A22" s="59" t="s">
        <v>278</v>
      </c>
      <c r="B22" s="20"/>
      <c r="C22" s="36"/>
      <c r="D22" s="63"/>
      <c r="E22" s="20"/>
      <c r="F22" s="20"/>
      <c r="G22" s="20"/>
      <c r="H22" s="36"/>
      <c r="I22" s="63"/>
      <c r="J22" s="4"/>
    </row>
    <row r="23" spans="1:10" x14ac:dyDescent="0.25">
      <c r="A23" s="251" t="s">
        <v>130</v>
      </c>
      <c r="B23" s="75">
        <v>0</v>
      </c>
      <c r="C23" s="36">
        <f>D23*B23</f>
        <v>0</v>
      </c>
      <c r="D23" s="61">
        <v>0</v>
      </c>
      <c r="E23" s="31"/>
      <c r="F23" s="39">
        <v>1.7351466784479892</v>
      </c>
      <c r="G23" s="20"/>
      <c r="H23" s="32">
        <f>C23*F23</f>
        <v>0</v>
      </c>
      <c r="I23" s="61" t="str">
        <f>IF(ISERROR(H23/B23),"n/a",H23/B23)</f>
        <v>n/a</v>
      </c>
      <c r="J23" s="4"/>
    </row>
    <row r="24" spans="1:10" x14ac:dyDescent="0.25">
      <c r="A24" s="250" t="s">
        <v>292</v>
      </c>
      <c r="B24" s="75">
        <v>11946.49144310914</v>
      </c>
      <c r="C24" s="36">
        <f>D24*B24</f>
        <v>3971.6123118719388</v>
      </c>
      <c r="D24" s="61">
        <v>0.33245010309389256</v>
      </c>
      <c r="E24" s="31"/>
      <c r="F24" s="39">
        <v>1.7351466784479892</v>
      </c>
      <c r="G24" s="20"/>
      <c r="H24" s="32">
        <f>C24*F24</f>
        <v>6891.3299110277339</v>
      </c>
      <c r="I24" s="61">
        <f>IF(ISERROR(H24/B24),"n/a",H24/B24)</f>
        <v>0.57684969213305926</v>
      </c>
      <c r="J24" s="4"/>
    </row>
    <row r="25" spans="1:10" x14ac:dyDescent="0.25">
      <c r="A25" s="251" t="s">
        <v>102</v>
      </c>
      <c r="B25" s="75">
        <f>SUM(B23:B24)</f>
        <v>11946.49144310914</v>
      </c>
      <c r="C25" s="108">
        <f>SUM(C23:C24)</f>
        <v>3971.6123118719388</v>
      </c>
      <c r="D25" s="61">
        <f>IF(ISERROR(C25/B25),"n/a",C25/B25)</f>
        <v>0.33245010309389256</v>
      </c>
      <c r="E25" s="31"/>
      <c r="F25" s="39"/>
      <c r="G25" s="20"/>
      <c r="H25" s="32">
        <f>SUM(H23:H24)</f>
        <v>6891.3299110277339</v>
      </c>
      <c r="I25" s="61">
        <f>H25/B25</f>
        <v>0.57684969213305926</v>
      </c>
      <c r="J25" s="4"/>
    </row>
    <row r="26" spans="1:10" ht="5.15" customHeight="1" x14ac:dyDescent="0.25">
      <c r="A26" s="60"/>
      <c r="B26" s="13"/>
      <c r="C26" s="36"/>
      <c r="D26" s="63"/>
      <c r="E26" s="35"/>
      <c r="F26" s="56"/>
      <c r="G26" s="56"/>
      <c r="H26" s="36"/>
      <c r="I26" s="63"/>
      <c r="J26" s="4"/>
    </row>
    <row r="27" spans="1:10" x14ac:dyDescent="0.25">
      <c r="A27" s="59" t="s">
        <v>274</v>
      </c>
      <c r="B27" s="20"/>
      <c r="C27" s="36"/>
      <c r="D27" s="63"/>
      <c r="E27" s="20"/>
      <c r="F27" s="20"/>
      <c r="G27" s="20"/>
      <c r="H27" s="36"/>
      <c r="I27" s="63"/>
      <c r="J27" s="4"/>
    </row>
    <row r="28" spans="1:10" x14ac:dyDescent="0.25">
      <c r="A28" s="251" t="s">
        <v>130</v>
      </c>
      <c r="B28" s="75">
        <v>0</v>
      </c>
      <c r="C28" s="36">
        <f>D28*B28</f>
        <v>0</v>
      </c>
      <c r="D28" s="61">
        <v>0</v>
      </c>
      <c r="E28" s="31"/>
      <c r="F28" s="39">
        <v>1.7351466784479892</v>
      </c>
      <c r="G28" s="56"/>
      <c r="H28" s="32">
        <f>C28*F28</f>
        <v>0</v>
      </c>
      <c r="I28" s="61" t="str">
        <f>IF(ISERROR(H28/B28),"n/a",H28/B28)</f>
        <v>n/a</v>
      </c>
      <c r="J28" s="4"/>
    </row>
    <row r="29" spans="1:10" x14ac:dyDescent="0.25">
      <c r="A29" s="250" t="s">
        <v>292</v>
      </c>
      <c r="B29" s="75">
        <v>0</v>
      </c>
      <c r="C29" s="36">
        <v>0</v>
      </c>
      <c r="D29" s="61" t="s">
        <v>106</v>
      </c>
      <c r="E29" s="31"/>
      <c r="F29" s="39">
        <v>1.7351466784479892</v>
      </c>
      <c r="G29" s="56"/>
      <c r="H29" s="32">
        <f>C29*F29</f>
        <v>0</v>
      </c>
      <c r="I29" s="61" t="str">
        <f>IF(ISERROR(H29/B29),"n/a",H29/B29)</f>
        <v>n/a</v>
      </c>
      <c r="J29" s="4"/>
    </row>
    <row r="30" spans="1:10" x14ac:dyDescent="0.25">
      <c r="A30" s="251" t="s">
        <v>102</v>
      </c>
      <c r="B30" s="75">
        <f>SUM(B28:B29)</f>
        <v>0</v>
      </c>
      <c r="C30" s="108">
        <f>SUM(C28:C29)</f>
        <v>0</v>
      </c>
      <c r="D30" s="61" t="str">
        <f>IF(ISERROR(C30/B30),"n/a",C30/B30)</f>
        <v>n/a</v>
      </c>
      <c r="E30" s="31"/>
      <c r="F30" s="39"/>
      <c r="G30" s="20"/>
      <c r="H30" s="32">
        <f>SUM(H28:H29)</f>
        <v>0</v>
      </c>
      <c r="I30" s="61" t="str">
        <f>IF(ISERROR(H30/B30),"n/a",H30/B30)</f>
        <v>n/a</v>
      </c>
      <c r="J30" s="4"/>
    </row>
    <row r="31" spans="1:10" ht="5.15" customHeight="1" x14ac:dyDescent="0.25">
      <c r="A31" s="60"/>
      <c r="B31" s="13"/>
      <c r="C31" s="36"/>
      <c r="D31" s="63"/>
      <c r="E31" s="35"/>
      <c r="F31" s="56"/>
      <c r="G31" s="56"/>
      <c r="H31" s="36"/>
      <c r="I31" s="63"/>
      <c r="J31" s="4"/>
    </row>
    <row r="32" spans="1:10" x14ac:dyDescent="0.25">
      <c r="A32" s="59" t="s">
        <v>279</v>
      </c>
      <c r="B32" s="13"/>
      <c r="C32" s="36"/>
      <c r="D32" s="63"/>
      <c r="E32" s="35"/>
      <c r="F32" s="56"/>
      <c r="G32" s="56"/>
      <c r="H32" s="36"/>
      <c r="I32" s="63"/>
      <c r="J32" s="4"/>
    </row>
    <row r="33" spans="1:10" x14ac:dyDescent="0.25">
      <c r="A33" s="251" t="s">
        <v>130</v>
      </c>
      <c r="B33" s="75">
        <v>0</v>
      </c>
      <c r="C33" s="36">
        <f>D33*B33</f>
        <v>0</v>
      </c>
      <c r="D33" s="61">
        <v>0</v>
      </c>
      <c r="E33" s="31"/>
      <c r="F33" s="39">
        <v>1.7351466784479892</v>
      </c>
      <c r="G33" s="56"/>
      <c r="H33" s="32">
        <f>C33*F33</f>
        <v>0</v>
      </c>
      <c r="I33" s="61" t="str">
        <f>IF(ISERROR(H33/B33),"n/a",H33/B33)</f>
        <v>n/a</v>
      </c>
      <c r="J33" s="4"/>
    </row>
    <row r="34" spans="1:10" x14ac:dyDescent="0.25">
      <c r="A34" s="250" t="s">
        <v>292</v>
      </c>
      <c r="B34" s="75">
        <v>28819.18013590253</v>
      </c>
      <c r="C34" s="36">
        <f>D34*B34</f>
        <v>9580.9394072622599</v>
      </c>
      <c r="D34" s="61">
        <v>0.33245010309389267</v>
      </c>
      <c r="E34" s="31"/>
      <c r="F34" s="39">
        <v>1.7351466784479892</v>
      </c>
      <c r="G34" s="56"/>
      <c r="H34" s="32">
        <f>C34*F34</f>
        <v>16624.335188922556</v>
      </c>
      <c r="I34" s="61">
        <f>IF(ISERROR(H34/B34),"n/a",H34/B34)</f>
        <v>0.57684969213305937</v>
      </c>
      <c r="J34" s="4"/>
    </row>
    <row r="35" spans="1:10" x14ac:dyDescent="0.25">
      <c r="A35" s="251" t="s">
        <v>102</v>
      </c>
      <c r="B35" s="75">
        <f>SUM(B33:B34)</f>
        <v>28819.18013590253</v>
      </c>
      <c r="C35" s="108">
        <f>SUM(C33:C34)</f>
        <v>9580.9394072622599</v>
      </c>
      <c r="D35" s="61">
        <f>IF(ISERROR(C35/B35),"n/a",C35/B35)</f>
        <v>0.33245010309389267</v>
      </c>
      <c r="E35" s="31"/>
      <c r="F35" s="39"/>
      <c r="G35" s="20"/>
      <c r="H35" s="32">
        <f>SUM(H33:H34)</f>
        <v>16624.335188922556</v>
      </c>
      <c r="I35" s="61">
        <f>H35/B35</f>
        <v>0.57684969213305937</v>
      </c>
      <c r="J35" s="4"/>
    </row>
    <row r="36" spans="1:10" x14ac:dyDescent="0.25">
      <c r="A36" s="60"/>
      <c r="B36" s="75"/>
      <c r="C36" s="36"/>
      <c r="D36" s="61"/>
      <c r="E36" s="31"/>
      <c r="F36" s="39"/>
      <c r="G36" s="56"/>
      <c r="H36" s="32"/>
      <c r="I36" s="344"/>
      <c r="J36" s="4"/>
    </row>
    <row r="37" spans="1:10" ht="15.5" x14ac:dyDescent="0.35">
      <c r="A37" s="117" t="s">
        <v>650</v>
      </c>
      <c r="J37" s="4"/>
    </row>
    <row r="38" spans="1:10" ht="15.5" x14ac:dyDescent="0.35">
      <c r="A38" s="117" t="s">
        <v>787</v>
      </c>
      <c r="J38" s="4"/>
    </row>
    <row r="39" spans="1:10" ht="25" x14ac:dyDescent="0.25">
      <c r="B39" s="125" t="s">
        <v>250</v>
      </c>
      <c r="C39" s="138" t="s">
        <v>249</v>
      </c>
      <c r="D39" s="8" t="s">
        <v>104</v>
      </c>
      <c r="E39" s="8"/>
      <c r="F39" s="142" t="s">
        <v>246</v>
      </c>
      <c r="G39" s="65"/>
      <c r="H39" s="119" t="s">
        <v>218</v>
      </c>
      <c r="I39" s="31" t="s">
        <v>133</v>
      </c>
      <c r="J39" s="4"/>
    </row>
    <row r="40" spans="1:10" ht="13" x14ac:dyDescent="0.3">
      <c r="A40" s="14" t="s">
        <v>290</v>
      </c>
      <c r="B40" s="13"/>
      <c r="C40" s="36"/>
      <c r="D40" s="63"/>
      <c r="E40" s="35"/>
      <c r="F40" s="56"/>
      <c r="G40" s="56"/>
      <c r="H40" s="36"/>
      <c r="I40" s="63"/>
      <c r="J40" s="4"/>
    </row>
    <row r="41" spans="1:10" x14ac:dyDescent="0.25">
      <c r="A41" s="66" t="s">
        <v>170</v>
      </c>
      <c r="B41" s="20"/>
      <c r="C41" s="36"/>
      <c r="D41" s="63"/>
      <c r="E41" s="20"/>
      <c r="F41" s="20"/>
      <c r="G41" s="20"/>
      <c r="H41" s="36"/>
      <c r="I41" s="63"/>
      <c r="J41" s="4"/>
    </row>
    <row r="42" spans="1:10" x14ac:dyDescent="0.25">
      <c r="A42" s="59" t="s">
        <v>289</v>
      </c>
      <c r="B42" s="75"/>
      <c r="C42" s="36"/>
      <c r="D42" s="61"/>
      <c r="E42" s="31"/>
      <c r="F42" s="39"/>
      <c r="G42" s="55"/>
      <c r="H42" s="32"/>
      <c r="I42" s="61"/>
      <c r="J42" s="4"/>
    </row>
    <row r="43" spans="1:10" x14ac:dyDescent="0.25">
      <c r="A43" s="251" t="s">
        <v>130</v>
      </c>
      <c r="B43" s="75">
        <v>0</v>
      </c>
      <c r="C43" s="36">
        <v>0</v>
      </c>
      <c r="D43" s="61" t="str">
        <f>IF(ISERROR(C43/B43),"n/a",C43/B43)</f>
        <v>n/a</v>
      </c>
      <c r="E43" s="31"/>
      <c r="F43" s="39">
        <v>1.7351466784479892</v>
      </c>
      <c r="G43" s="20"/>
      <c r="H43" s="32">
        <f>C43*F43</f>
        <v>0</v>
      </c>
      <c r="I43" s="61" t="str">
        <f>IF(ISERROR(H43/B43),"n/a",H43/B43)</f>
        <v>n/a</v>
      </c>
      <c r="J43" s="4"/>
    </row>
    <row r="44" spans="1:10" x14ac:dyDescent="0.25">
      <c r="A44" s="250" t="s">
        <v>292</v>
      </c>
      <c r="B44" s="75">
        <v>785.45966062088371</v>
      </c>
      <c r="C44" s="36">
        <v>187.85764620645813</v>
      </c>
      <c r="D44" s="61">
        <f>IF(ISERROR(C44/B44),"n/a",C44/B44)</f>
        <v>0.23916905682713477</v>
      </c>
      <c r="E44" s="31"/>
      <c r="F44" s="39">
        <v>1.7351466784479892</v>
      </c>
      <c r="G44" s="20"/>
      <c r="H44" s="32">
        <f>C44*F44</f>
        <v>325.96057083619331</v>
      </c>
      <c r="I44" s="61">
        <f>IF(ISERROR(H44/B44),"n/a",H44/B44)</f>
        <v>0.41499339454114126</v>
      </c>
      <c r="J44" s="4"/>
    </row>
    <row r="45" spans="1:10" x14ac:dyDescent="0.25">
      <c r="A45" s="251" t="s">
        <v>102</v>
      </c>
      <c r="B45" s="75">
        <f>SUM(B43:B44)</f>
        <v>785.45966062088371</v>
      </c>
      <c r="C45" s="108">
        <f>SUM(C43:C44)</f>
        <v>187.85764620645813</v>
      </c>
      <c r="D45" s="61">
        <f>IF(ISERROR(C45/B45),"n/a",C45/B45)</f>
        <v>0.23916905682713477</v>
      </c>
      <c r="E45" s="31"/>
      <c r="F45" s="39"/>
      <c r="G45" s="20"/>
      <c r="H45" s="32">
        <f>SUM(H43:H44)</f>
        <v>325.96057083619331</v>
      </c>
      <c r="I45" s="61">
        <f>H45/B45</f>
        <v>0.41499339454114126</v>
      </c>
      <c r="J45" s="4"/>
    </row>
    <row r="46" spans="1:10" ht="5.15" customHeight="1" x14ac:dyDescent="0.3">
      <c r="A46" s="80"/>
      <c r="B46" s="75"/>
      <c r="C46" s="108"/>
      <c r="D46" s="61"/>
      <c r="E46" s="31"/>
      <c r="F46" s="39"/>
      <c r="G46" s="20"/>
      <c r="H46" s="32"/>
      <c r="I46" s="61"/>
      <c r="J46" s="4"/>
    </row>
    <row r="47" spans="1:10" x14ac:dyDescent="0.25">
      <c r="A47" s="59" t="s">
        <v>168</v>
      </c>
      <c r="B47" s="75"/>
      <c r="C47" s="36"/>
      <c r="D47" s="61"/>
      <c r="E47" s="31"/>
      <c r="F47" s="39"/>
      <c r="G47" s="20"/>
      <c r="H47" s="32"/>
      <c r="I47" s="61"/>
      <c r="J47" s="4"/>
    </row>
    <row r="48" spans="1:10" x14ac:dyDescent="0.25">
      <c r="A48" s="251" t="s">
        <v>130</v>
      </c>
      <c r="B48" s="75">
        <v>0</v>
      </c>
      <c r="C48" s="36">
        <v>0</v>
      </c>
      <c r="D48" s="61" t="str">
        <f>IF(ISERROR(C48/B48),"n/a",C48/B48)</f>
        <v>n/a</v>
      </c>
      <c r="E48" s="31"/>
      <c r="F48" s="39">
        <v>1.7351466784479892</v>
      </c>
      <c r="G48" s="55"/>
      <c r="H48" s="32">
        <f>C48*F48</f>
        <v>0</v>
      </c>
      <c r="I48" s="61" t="str">
        <f>IF(ISERROR(H48/B48),"n/a",H48/B48)</f>
        <v>n/a</v>
      </c>
      <c r="J48" s="4"/>
    </row>
    <row r="49" spans="1:10" x14ac:dyDescent="0.25">
      <c r="A49" s="250" t="s">
        <v>292</v>
      </c>
      <c r="B49" s="75">
        <v>4619.3675704909574</v>
      </c>
      <c r="C49" s="36">
        <v>1104.8097849721753</v>
      </c>
      <c r="D49" s="61">
        <f>IF(ISERROR(C49/B49),"n/a",C49/B49)</f>
        <v>0.23916905682713477</v>
      </c>
      <c r="E49" s="31"/>
      <c r="F49" s="39">
        <v>1.7351466784479892</v>
      </c>
      <c r="G49" s="55"/>
      <c r="H49" s="32">
        <f>C49*F49</f>
        <v>1917.0070287113072</v>
      </c>
      <c r="I49" s="61">
        <f>IF(ISERROR(H49/B49),"n/a",H49/B49)</f>
        <v>0.41499339454114126</v>
      </c>
      <c r="J49" s="4"/>
    </row>
    <row r="50" spans="1:10" x14ac:dyDescent="0.25">
      <c r="A50" s="251" t="s">
        <v>102</v>
      </c>
      <c r="B50" s="75">
        <f>SUM(B48:B49)</f>
        <v>4619.3675704909574</v>
      </c>
      <c r="C50" s="108">
        <f>SUM(C48:C49)</f>
        <v>1104.8097849721753</v>
      </c>
      <c r="D50" s="61">
        <f>IF(ISERROR(C50/B50),"n/a",C50/B50)</f>
        <v>0.23916905682713477</v>
      </c>
      <c r="E50" s="31"/>
      <c r="F50" s="39"/>
      <c r="G50" s="20"/>
      <c r="H50" s="32">
        <f>SUM(H48:H49)</f>
        <v>1917.0070287113072</v>
      </c>
      <c r="I50" s="61">
        <f>H50/B50</f>
        <v>0.41499339454114126</v>
      </c>
      <c r="J50" s="4"/>
    </row>
    <row r="51" spans="1:10" ht="5.15" customHeight="1" x14ac:dyDescent="0.3">
      <c r="A51" s="80"/>
      <c r="B51" s="75"/>
      <c r="C51" s="108"/>
      <c r="D51" s="61"/>
      <c r="E51" s="31"/>
      <c r="F51" s="39"/>
      <c r="G51" s="20"/>
      <c r="H51" s="32"/>
      <c r="I51" s="61"/>
      <c r="J51" s="4"/>
    </row>
    <row r="52" spans="1:10" x14ac:dyDescent="0.25">
      <c r="A52" s="66" t="s">
        <v>169</v>
      </c>
      <c r="B52" s="13"/>
      <c r="C52" s="36"/>
      <c r="D52" s="63"/>
      <c r="E52" s="35"/>
      <c r="F52" s="56"/>
      <c r="G52" s="56"/>
      <c r="H52" s="36"/>
      <c r="I52" s="63"/>
      <c r="J52" s="4"/>
    </row>
    <row r="53" spans="1:10" x14ac:dyDescent="0.25">
      <c r="A53" s="59" t="s">
        <v>289</v>
      </c>
      <c r="B53" s="13"/>
      <c r="C53" s="36"/>
      <c r="D53" s="63"/>
      <c r="E53" s="35"/>
      <c r="F53" s="56"/>
      <c r="G53" s="56"/>
      <c r="H53" s="36"/>
      <c r="I53" s="63"/>
      <c r="J53" s="4"/>
    </row>
    <row r="54" spans="1:10" x14ac:dyDescent="0.25">
      <c r="A54" s="251" t="s">
        <v>130</v>
      </c>
      <c r="B54" s="75">
        <v>0</v>
      </c>
      <c r="C54" s="36">
        <v>0</v>
      </c>
      <c r="D54" s="61" t="str">
        <f>IF(ISERROR(C54/B54),"n/a",C54/B54)</f>
        <v>n/a</v>
      </c>
      <c r="E54" s="31"/>
      <c r="F54" s="39">
        <v>1.7351466784479892</v>
      </c>
      <c r="G54" s="55"/>
      <c r="H54" s="32">
        <f>IF(B54=0,0,C54*F54)</f>
        <v>0</v>
      </c>
      <c r="I54" s="61" t="str">
        <f>IF(ISERROR(H54/B54),"n/a",H54/B54)</f>
        <v>n/a</v>
      </c>
      <c r="J54" s="4"/>
    </row>
    <row r="55" spans="1:10" x14ac:dyDescent="0.25">
      <c r="A55" s="250" t="s">
        <v>292</v>
      </c>
      <c r="B55" s="75">
        <v>18.40156636117116</v>
      </c>
      <c r="C55" s="36">
        <v>4.4010852707432377</v>
      </c>
      <c r="D55" s="61">
        <f>IF(ISERROR(C55/B55),"n/a",C55/B55)</f>
        <v>0.23916905682713482</v>
      </c>
      <c r="E55" s="31"/>
      <c r="F55" s="39">
        <v>1.7351466784479892</v>
      </c>
      <c r="G55" s="55"/>
      <c r="H55" s="32">
        <f>C55*F55</f>
        <v>7.6365284890964986</v>
      </c>
      <c r="I55" s="61">
        <f>IF(ISERROR(H55/B55),"n/a",H55/B55)</f>
        <v>0.41499339454114137</v>
      </c>
      <c r="J55" s="4"/>
    </row>
    <row r="56" spans="1:10" x14ac:dyDescent="0.25">
      <c r="A56" s="251" t="s">
        <v>102</v>
      </c>
      <c r="B56" s="75">
        <f>SUM(B54:B55)</f>
        <v>18.40156636117116</v>
      </c>
      <c r="C56" s="108">
        <f>SUM(C54:C55)</f>
        <v>4.4010852707432377</v>
      </c>
      <c r="D56" s="61">
        <f>IF(ISERROR(C56/B56),"n/a",C56/B56)</f>
        <v>0.23916905682713482</v>
      </c>
      <c r="E56" s="31"/>
      <c r="F56" s="39"/>
      <c r="G56" s="20"/>
      <c r="H56" s="32">
        <f>SUM(H54:H55)</f>
        <v>7.6365284890964986</v>
      </c>
      <c r="I56" s="61">
        <f>H56/B56</f>
        <v>0.41499339454114137</v>
      </c>
      <c r="J56" s="4"/>
    </row>
    <row r="57" spans="1:10" ht="5.15" customHeight="1" x14ac:dyDescent="0.3">
      <c r="A57" s="80"/>
      <c r="B57" s="75"/>
      <c r="C57" s="108"/>
      <c r="D57" s="61"/>
      <c r="E57" s="31"/>
      <c r="F57" s="39"/>
      <c r="G57" s="20"/>
      <c r="H57" s="32"/>
      <c r="I57" s="61"/>
      <c r="J57" s="4"/>
    </row>
    <row r="58" spans="1:10" x14ac:dyDescent="0.25">
      <c r="A58" s="59" t="s">
        <v>168</v>
      </c>
      <c r="B58" s="13"/>
      <c r="C58" s="36"/>
      <c r="D58" s="63"/>
      <c r="E58" s="35"/>
      <c r="F58" s="56"/>
      <c r="G58" s="56"/>
      <c r="H58" s="36"/>
      <c r="I58" s="63"/>
      <c r="J58" s="4"/>
    </row>
    <row r="59" spans="1:10" x14ac:dyDescent="0.25">
      <c r="A59" s="251" t="s">
        <v>130</v>
      </c>
      <c r="B59" s="75">
        <v>0</v>
      </c>
      <c r="C59" s="36">
        <v>0</v>
      </c>
      <c r="D59" s="61" t="str">
        <f>IF(ISERROR(C59/B59),"n/a",C59/B59)</f>
        <v>n/a</v>
      </c>
      <c r="E59" s="31"/>
      <c r="F59" s="39">
        <v>1.7351466784479892</v>
      </c>
      <c r="G59" s="55"/>
      <c r="H59" s="32">
        <f>C59*F59</f>
        <v>0</v>
      </c>
      <c r="I59" s="61" t="str">
        <f>IF(ISERROR(H59/B59),"n/a",H59/B59)</f>
        <v>n/a</v>
      </c>
      <c r="J59" s="4"/>
    </row>
    <row r="60" spans="1:10" x14ac:dyDescent="0.25">
      <c r="A60" s="250" t="s">
        <v>292</v>
      </c>
      <c r="B60" s="75">
        <v>0</v>
      </c>
      <c r="C60" s="36">
        <v>0</v>
      </c>
      <c r="D60" s="61" t="str">
        <f>IF(ISERROR(C60/B60),"n/a",C60/B60)</f>
        <v>n/a</v>
      </c>
      <c r="E60" s="31"/>
      <c r="F60" s="39">
        <v>1.7351466784479892</v>
      </c>
      <c r="G60" s="55"/>
      <c r="H60" s="32">
        <f>C60*F60</f>
        <v>0</v>
      </c>
      <c r="I60" s="61" t="str">
        <f>IF(ISERROR(H60/B60),"n/a",H60/B60)</f>
        <v>n/a</v>
      </c>
      <c r="J60" s="4"/>
    </row>
    <row r="61" spans="1:10" x14ac:dyDescent="0.25">
      <c r="A61" s="251" t="s">
        <v>102</v>
      </c>
      <c r="B61" s="75">
        <f>SUM(B59:B60)</f>
        <v>0</v>
      </c>
      <c r="C61" s="108">
        <f>SUM(C59:C60)</f>
        <v>0</v>
      </c>
      <c r="D61" s="61" t="str">
        <f>IF(ISERROR(C61/B61),"n/a",C61/B61)</f>
        <v>n/a</v>
      </c>
      <c r="E61" s="31"/>
      <c r="F61" s="39"/>
      <c r="G61" s="20"/>
      <c r="H61" s="32">
        <f>SUM(H59:H60)</f>
        <v>0</v>
      </c>
      <c r="I61" s="61" t="str">
        <f>IF(ISERROR(H61/B61),"n/a",H61/B61)</f>
        <v>n/a</v>
      </c>
      <c r="J61" s="4"/>
    </row>
    <row r="62" spans="1:10" x14ac:dyDescent="0.25">
      <c r="A62" s="251"/>
      <c r="B62" s="75"/>
      <c r="C62" s="108"/>
      <c r="D62" s="61"/>
      <c r="E62" s="31"/>
      <c r="F62" s="39"/>
      <c r="G62" s="20"/>
      <c r="H62" s="32"/>
      <c r="I62" s="61"/>
      <c r="J62" s="4"/>
    </row>
    <row r="63" spans="1:10" ht="15.5" x14ac:dyDescent="0.35">
      <c r="A63" s="117" t="s">
        <v>651</v>
      </c>
      <c r="J63" s="4"/>
    </row>
    <row r="64" spans="1:10" ht="15.5" x14ac:dyDescent="0.35">
      <c r="A64" s="117" t="s">
        <v>787</v>
      </c>
      <c r="J64" s="4"/>
    </row>
    <row r="65" spans="1:16" ht="25" x14ac:dyDescent="0.25">
      <c r="B65" s="125" t="s">
        <v>250</v>
      </c>
      <c r="C65" s="138" t="s">
        <v>249</v>
      </c>
      <c r="D65" s="8" t="s">
        <v>104</v>
      </c>
      <c r="E65" s="8"/>
      <c r="F65" s="142" t="s">
        <v>246</v>
      </c>
      <c r="G65" s="65"/>
      <c r="H65" s="119" t="s">
        <v>218</v>
      </c>
      <c r="I65" s="31" t="s">
        <v>133</v>
      </c>
      <c r="J65" s="4"/>
    </row>
    <row r="66" spans="1:16" ht="13" x14ac:dyDescent="0.3">
      <c r="A66" s="14" t="s">
        <v>783</v>
      </c>
      <c r="B66" s="125"/>
      <c r="C66" s="138"/>
      <c r="D66" s="8"/>
      <c r="E66" s="8"/>
      <c r="F66" s="142"/>
      <c r="G66" s="65"/>
      <c r="H66" s="119"/>
      <c r="I66" s="31"/>
      <c r="J66" s="4"/>
    </row>
    <row r="67" spans="1:16" x14ac:dyDescent="0.25">
      <c r="A67" s="66" t="s">
        <v>174</v>
      </c>
      <c r="B67" s="75"/>
      <c r="C67" s="108"/>
      <c r="D67" s="61"/>
      <c r="E67" s="31"/>
      <c r="F67" s="39"/>
      <c r="G67" s="20"/>
      <c r="H67" s="32"/>
      <c r="I67" s="61"/>
      <c r="J67" s="4"/>
      <c r="M67" s="4"/>
      <c r="N67" s="4"/>
      <c r="O67" s="4"/>
      <c r="P67" s="4"/>
    </row>
    <row r="68" spans="1:16" x14ac:dyDescent="0.25">
      <c r="A68" s="60" t="s">
        <v>274</v>
      </c>
      <c r="B68" s="75"/>
      <c r="C68" s="108"/>
      <c r="D68" s="61"/>
      <c r="E68" s="31"/>
      <c r="F68" s="39"/>
      <c r="G68" s="20"/>
      <c r="H68" s="32"/>
      <c r="I68" s="61"/>
      <c r="J68" s="4"/>
    </row>
    <row r="69" spans="1:16" x14ac:dyDescent="0.25">
      <c r="A69" s="251" t="s">
        <v>130</v>
      </c>
      <c r="B69" s="75">
        <v>0</v>
      </c>
      <c r="C69" s="36">
        <v>0</v>
      </c>
      <c r="D69" s="61" t="str">
        <f>IF(ISERROR(C69/B69),"n/a",C69/B69)</f>
        <v>n/a</v>
      </c>
      <c r="E69" s="31"/>
      <c r="F69" s="39">
        <v>1.7351466784479892</v>
      </c>
      <c r="G69" s="20"/>
      <c r="H69" s="32">
        <f>C69*F69</f>
        <v>0</v>
      </c>
      <c r="I69" s="61" t="str">
        <f>IF(ISERROR(H69/B69),"n/a",H69/B69)</f>
        <v>n/a</v>
      </c>
      <c r="J69" s="4"/>
    </row>
    <row r="70" spans="1:16" x14ac:dyDescent="0.25">
      <c r="A70" s="250" t="s">
        <v>292</v>
      </c>
      <c r="B70" s="75">
        <v>8753.6785785110205</v>
      </c>
      <c r="C70" s="36">
        <v>127.46375734794401</v>
      </c>
      <c r="D70" s="61">
        <f>IF(ISERROR(C70/B70),"n/a",C70/B70)</f>
        <v>1.4561164909669928E-2</v>
      </c>
      <c r="E70" s="31"/>
      <c r="F70" s="39">
        <v>1.7351466784479892</v>
      </c>
      <c r="G70" s="20"/>
      <c r="H70" s="32">
        <f>C70*F70</f>
        <v>221.16831518478551</v>
      </c>
      <c r="I70" s="61">
        <f>IF(ISERROR(H70/B70),"n/a",H70/B70)</f>
        <v>2.5265756927347189E-2</v>
      </c>
      <c r="J70" s="4"/>
    </row>
    <row r="71" spans="1:16" x14ac:dyDescent="0.25">
      <c r="A71" s="251" t="s">
        <v>102</v>
      </c>
      <c r="B71" s="75">
        <f>SUM(B69:B70)</f>
        <v>8753.6785785110205</v>
      </c>
      <c r="C71" s="36">
        <f>SUM(C69:C70)</f>
        <v>127.46375734794401</v>
      </c>
      <c r="D71" s="61">
        <f>IF(ISERROR(C71/B71),"n/a",C71/B71)</f>
        <v>1.4561164909669928E-2</v>
      </c>
      <c r="E71" s="31"/>
      <c r="F71" s="39"/>
      <c r="G71" s="20"/>
      <c r="H71" s="32">
        <f>SUM(H69:H70)</f>
        <v>221.16831518478551</v>
      </c>
      <c r="I71" s="61">
        <f>H71/B71</f>
        <v>2.5265756927347189E-2</v>
      </c>
      <c r="J71" s="4"/>
    </row>
    <row r="72" spans="1:16" ht="5.15" customHeight="1" x14ac:dyDescent="0.3">
      <c r="A72" s="80"/>
      <c r="B72" s="75"/>
      <c r="C72" s="108"/>
      <c r="D72" s="61"/>
      <c r="E72" s="31"/>
      <c r="F72" s="39"/>
      <c r="G72" s="20"/>
      <c r="H72" s="32"/>
      <c r="I72" s="61"/>
      <c r="J72" s="4"/>
    </row>
    <row r="73" spans="1:16" x14ac:dyDescent="0.25">
      <c r="A73" s="59" t="s">
        <v>279</v>
      </c>
      <c r="B73" s="75"/>
      <c r="C73" s="108"/>
      <c r="D73" s="61"/>
      <c r="E73" s="31"/>
      <c r="F73" s="39"/>
      <c r="G73" s="20"/>
      <c r="H73" s="32"/>
      <c r="I73" s="61"/>
      <c r="J73" s="4"/>
    </row>
    <row r="74" spans="1:16" x14ac:dyDescent="0.25">
      <c r="A74" s="251" t="s">
        <v>130</v>
      </c>
      <c r="B74" s="75">
        <v>0</v>
      </c>
      <c r="C74" s="36">
        <v>0</v>
      </c>
      <c r="D74" s="61" t="str">
        <f>IF(ISERROR(C74/B74),"n/a",C74/B74)</f>
        <v>n/a</v>
      </c>
      <c r="E74" s="31"/>
      <c r="F74" s="39">
        <v>1.7351466784479892</v>
      </c>
      <c r="G74" s="20"/>
      <c r="H74" s="32">
        <f>C74*F74</f>
        <v>0</v>
      </c>
      <c r="I74" s="61" t="str">
        <f>IF(ISERROR(H74/B74),"n/a",H74/B74)</f>
        <v>n/a</v>
      </c>
      <c r="J74" s="4"/>
    </row>
    <row r="75" spans="1:16" x14ac:dyDescent="0.25">
      <c r="A75" s="250" t="s">
        <v>292</v>
      </c>
      <c r="B75" s="75">
        <v>29538.236814774395</v>
      </c>
      <c r="C75" s="36">
        <v>430.11113740081328</v>
      </c>
      <c r="D75" s="61">
        <f>IF(ISERROR(C75/B75),"n/a",C75/B75)</f>
        <v>1.4561164909669926E-2</v>
      </c>
      <c r="E75" s="31"/>
      <c r="F75" s="39">
        <v>1.7351466784479892</v>
      </c>
      <c r="G75" s="20"/>
      <c r="H75" s="32">
        <f>C75*F75</f>
        <v>746.30591142450783</v>
      </c>
      <c r="I75" s="61">
        <f>IF(ISERROR(H75/B75),"n/a",H75/B75)</f>
        <v>2.5265756927347185E-2</v>
      </c>
      <c r="J75" s="4"/>
    </row>
    <row r="76" spans="1:16" x14ac:dyDescent="0.25">
      <c r="A76" s="251" t="s">
        <v>102</v>
      </c>
      <c r="B76" s="75">
        <f>SUM(B74:B75)</f>
        <v>29538.236814774395</v>
      </c>
      <c r="C76" s="36">
        <f>SUM(C74:C75)</f>
        <v>430.11113740081328</v>
      </c>
      <c r="D76" s="61">
        <f>IF(ISERROR(C76/B76),"n/a",C76/B76)</f>
        <v>1.4561164909669926E-2</v>
      </c>
      <c r="E76" s="31"/>
      <c r="F76" s="39"/>
      <c r="G76" s="20"/>
      <c r="H76" s="32">
        <f>SUM(H74:H75)</f>
        <v>746.30591142450783</v>
      </c>
      <c r="I76" s="61">
        <f>H76/B76</f>
        <v>2.5265756927347185E-2</v>
      </c>
      <c r="J76" s="4"/>
    </row>
    <row r="77" spans="1:16" ht="5.15" customHeight="1" x14ac:dyDescent="0.25">
      <c r="A77" s="251"/>
      <c r="B77" s="75"/>
      <c r="C77" s="108"/>
      <c r="D77" s="61"/>
      <c r="E77" s="31"/>
      <c r="F77" s="39"/>
      <c r="G77" s="20"/>
      <c r="H77" s="32"/>
      <c r="I77" s="61"/>
      <c r="J77" s="4"/>
    </row>
    <row r="78" spans="1:16" x14ac:dyDescent="0.25">
      <c r="A78" s="18" t="s">
        <v>308</v>
      </c>
      <c r="B78" s="75"/>
      <c r="C78" s="108"/>
      <c r="D78" s="61"/>
      <c r="E78" s="31"/>
      <c r="F78" s="39"/>
      <c r="G78" s="20"/>
      <c r="H78" s="32"/>
      <c r="I78" s="61"/>
      <c r="J78" s="4"/>
    </row>
    <row r="79" spans="1:16" x14ac:dyDescent="0.25">
      <c r="A79" s="60" t="s">
        <v>274</v>
      </c>
      <c r="B79" s="75"/>
      <c r="C79" s="108"/>
      <c r="D79" s="61"/>
      <c r="E79" s="31"/>
      <c r="F79" s="39"/>
      <c r="G79" s="20"/>
      <c r="H79" s="32"/>
      <c r="I79" s="61"/>
      <c r="J79" s="4"/>
    </row>
    <row r="80" spans="1:16" x14ac:dyDescent="0.25">
      <c r="A80" s="251" t="s">
        <v>130</v>
      </c>
      <c r="B80" s="75">
        <v>0</v>
      </c>
      <c r="C80" s="108">
        <v>0</v>
      </c>
      <c r="D80" s="61" t="str">
        <f>IF(ISERROR(C80/B80),"n/a",C80/B80)</f>
        <v>n/a</v>
      </c>
      <c r="E80" s="31"/>
      <c r="F80" s="39">
        <v>1.7351466784479892</v>
      </c>
      <c r="G80" s="20"/>
      <c r="H80" s="32">
        <f>C80*F80</f>
        <v>0</v>
      </c>
      <c r="I80" s="61" t="str">
        <f>IF(ISERROR(H80/B80),"n/a",H80/B80)</f>
        <v>n/a</v>
      </c>
      <c r="J80" s="4"/>
    </row>
    <row r="81" spans="1:10" x14ac:dyDescent="0.25">
      <c r="A81" s="250" t="s">
        <v>292</v>
      </c>
      <c r="B81" s="75">
        <v>8753.6785785110205</v>
      </c>
      <c r="C81" s="108">
        <v>2335.9124727902858</v>
      </c>
      <c r="D81" s="61">
        <f>IF(ISERROR(C81/B81),"n/a",C81/B81)</f>
        <v>0.26684923964704432</v>
      </c>
      <c r="E81" s="31"/>
      <c r="F81" s="39">
        <v>1.7351466784479892</v>
      </c>
      <c r="G81" s="20"/>
      <c r="H81" s="32">
        <f>C81*F81</f>
        <v>4053.1507683072932</v>
      </c>
      <c r="I81" s="61">
        <f>IF(ISERROR(H81/B81),"n/a",H81/B81)</f>
        <v>0.46302257181994044</v>
      </c>
      <c r="J81" s="4"/>
    </row>
    <row r="82" spans="1:10" x14ac:dyDescent="0.25">
      <c r="A82" s="251" t="s">
        <v>102</v>
      </c>
      <c r="B82" s="75">
        <f>SUM(B80:B81)</f>
        <v>8753.6785785110205</v>
      </c>
      <c r="C82" s="36">
        <f>SUM(C80:C81)</f>
        <v>2335.9124727902858</v>
      </c>
      <c r="D82" s="61">
        <f>IF(ISERROR(C82/B82),"n/a",C82/B82)</f>
        <v>0.26684923964704432</v>
      </c>
      <c r="E82" s="31"/>
      <c r="F82" s="39"/>
      <c r="G82" s="20"/>
      <c r="H82" s="32">
        <f>SUM(H80:H81)</f>
        <v>4053.1507683072932</v>
      </c>
      <c r="I82" s="61">
        <f>H82/B82</f>
        <v>0.46302257181994044</v>
      </c>
      <c r="J82" s="4"/>
    </row>
    <row r="83" spans="1:10" ht="5.15" customHeight="1" x14ac:dyDescent="0.3">
      <c r="A83" s="80"/>
      <c r="B83" s="75"/>
      <c r="C83" s="108"/>
      <c r="D83" s="61"/>
      <c r="E83" s="31"/>
      <c r="F83" s="39"/>
      <c r="G83" s="20"/>
      <c r="H83" s="32"/>
      <c r="I83" s="61"/>
      <c r="J83" s="4"/>
    </row>
    <row r="84" spans="1:10" x14ac:dyDescent="0.25">
      <c r="A84" s="59" t="s">
        <v>279</v>
      </c>
      <c r="B84" s="75"/>
      <c r="C84" s="108"/>
      <c r="D84" s="61"/>
      <c r="E84" s="31"/>
      <c r="F84" s="39"/>
      <c r="G84" s="20"/>
      <c r="H84" s="32"/>
      <c r="I84" s="61"/>
      <c r="J84" s="4"/>
    </row>
    <row r="85" spans="1:10" x14ac:dyDescent="0.25">
      <c r="A85" s="251" t="s">
        <v>130</v>
      </c>
      <c r="B85" s="75">
        <v>0</v>
      </c>
      <c r="C85" s="108">
        <v>0</v>
      </c>
      <c r="D85" s="61" t="str">
        <f>IF(ISERROR(C85/B85),"n/a",C85/B85)</f>
        <v>n/a</v>
      </c>
      <c r="E85" s="31"/>
      <c r="F85" s="39">
        <v>1.7351466784479892</v>
      </c>
      <c r="G85" s="20"/>
      <c r="H85" s="32">
        <f>C85*F85</f>
        <v>0</v>
      </c>
      <c r="I85" s="61" t="str">
        <f>IF(ISERROR(H85/B85),"n/a",H85/B85)</f>
        <v>n/a</v>
      </c>
      <c r="J85" s="4"/>
    </row>
    <row r="86" spans="1:10" x14ac:dyDescent="0.25">
      <c r="A86" s="250" t="s">
        <v>292</v>
      </c>
      <c r="B86" s="75">
        <v>29538.236814774395</v>
      </c>
      <c r="C86" s="108">
        <v>7882.2560345368811</v>
      </c>
      <c r="D86" s="61">
        <f>IF(ISERROR(C86/B86),"n/a",C86/B86)</f>
        <v>0.26684923964704438</v>
      </c>
      <c r="E86" s="31"/>
      <c r="F86" s="39">
        <v>1.7351466784479892</v>
      </c>
      <c r="G86" s="20"/>
      <c r="H86" s="32">
        <f>C86*F86</f>
        <v>13676.870377003288</v>
      </c>
      <c r="I86" s="61">
        <f>IF(ISERROR(H86/B86),"n/a",H86/B86)</f>
        <v>0.4630225718199405</v>
      </c>
      <c r="J86" s="4"/>
    </row>
    <row r="87" spans="1:10" x14ac:dyDescent="0.25">
      <c r="A87" s="251" t="s">
        <v>102</v>
      </c>
      <c r="B87" s="75">
        <f>SUM(B85:B86)</f>
        <v>29538.236814774395</v>
      </c>
      <c r="C87" s="36">
        <f>SUM(C85:C86)</f>
        <v>7882.2560345368811</v>
      </c>
      <c r="D87" s="61">
        <f>IF(ISERROR(C87/B87),"n/a",C87/B87)</f>
        <v>0.26684923964704438</v>
      </c>
      <c r="E87" s="31"/>
      <c r="F87" s="39"/>
      <c r="G87" s="20"/>
      <c r="H87" s="32">
        <f>SUM(H85:H86)</f>
        <v>13676.870377003288</v>
      </c>
      <c r="I87" s="61">
        <f>H87/B87</f>
        <v>0.4630225718199405</v>
      </c>
      <c r="J87" s="4"/>
    </row>
    <row r="88" spans="1:10" hidden="1" x14ac:dyDescent="0.25">
      <c r="A88" s="250"/>
      <c r="B88" s="75"/>
      <c r="C88" s="36"/>
      <c r="D88" s="61"/>
      <c r="E88" s="31"/>
      <c r="F88" s="39"/>
      <c r="G88" s="20"/>
      <c r="H88" s="32"/>
      <c r="I88" s="61"/>
      <c r="J88" s="4"/>
    </row>
    <row r="89" spans="1:10" hidden="1" x14ac:dyDescent="0.25">
      <c r="A89" s="251"/>
      <c r="B89" s="75"/>
      <c r="C89" s="36"/>
      <c r="D89" s="61"/>
      <c r="E89" s="31"/>
      <c r="F89" s="39"/>
      <c r="G89" s="20"/>
      <c r="H89" s="32"/>
      <c r="I89" s="61"/>
      <c r="J89" s="4"/>
    </row>
    <row r="90" spans="1:10" hidden="1" x14ac:dyDescent="0.25">
      <c r="B90" s="13" t="s">
        <v>193</v>
      </c>
      <c r="C90" s="6">
        <f>SUM(C7,C12,C17,C23,C28,C33,C43,C48,C54,C59)</f>
        <v>0</v>
      </c>
      <c r="D90" s="24">
        <v>0</v>
      </c>
      <c r="E90" s="89"/>
      <c r="F90" s="94">
        <f>C90-D90</f>
        <v>0</v>
      </c>
      <c r="G90" s="57"/>
      <c r="H90" s="28"/>
      <c r="I90" s="28"/>
      <c r="J90" s="4"/>
    </row>
    <row r="91" spans="1:10" hidden="1" x14ac:dyDescent="0.25">
      <c r="A91" s="4"/>
      <c r="B91" s="13" t="s">
        <v>194</v>
      </c>
      <c r="C91" s="6">
        <f>SUM(C8,C13,C18,C24,C29,C34,C44,C49,C55,C60)</f>
        <v>31397.388014479337</v>
      </c>
      <c r="D91" s="24">
        <v>31397.388014479337</v>
      </c>
      <c r="E91" s="96"/>
      <c r="F91" s="94">
        <f>C91-D91</f>
        <v>0</v>
      </c>
      <c r="G91" s="57"/>
      <c r="H91" s="28"/>
      <c r="I91" s="28"/>
      <c r="J91" s="4"/>
    </row>
    <row r="92" spans="1:10" hidden="1" x14ac:dyDescent="0.25">
      <c r="A92" s="4"/>
      <c r="B92" s="13" t="s">
        <v>195</v>
      </c>
      <c r="C92" s="6">
        <f>SUM(C90:C91)</f>
        <v>31397.388014479337</v>
      </c>
      <c r="D92" s="6">
        <f>SUM(D90:D91)</f>
        <v>31397.388014479337</v>
      </c>
      <c r="E92" s="101"/>
      <c r="F92" s="94">
        <f>C92-D92</f>
        <v>0</v>
      </c>
      <c r="G92" s="57"/>
      <c r="H92" s="28"/>
      <c r="I92" s="28"/>
      <c r="J92" s="4"/>
    </row>
    <row r="93" spans="1:10" hidden="1" x14ac:dyDescent="0.25">
      <c r="A93" s="4"/>
      <c r="B93" s="339" t="s">
        <v>196</v>
      </c>
      <c r="C93" s="24">
        <f>C43+C48+C54+C59</f>
        <v>0</v>
      </c>
      <c r="D93" s="24">
        <v>0</v>
      </c>
      <c r="E93" s="96"/>
      <c r="F93" s="94">
        <f>C93-D93</f>
        <v>0</v>
      </c>
      <c r="G93" s="57"/>
      <c r="H93" s="28"/>
      <c r="I93" s="28"/>
      <c r="J93" s="4"/>
    </row>
    <row r="94" spans="1:10" hidden="1" x14ac:dyDescent="0.25">
      <c r="A94" s="4"/>
      <c r="B94" s="339" t="s">
        <v>197</v>
      </c>
      <c r="C94" s="24">
        <f>C44+C49+C55+C60</f>
        <v>1297.0685164493766</v>
      </c>
      <c r="D94" s="24">
        <v>1297.0685164493766</v>
      </c>
      <c r="E94" s="96"/>
      <c r="F94" s="94">
        <f>C94-D94</f>
        <v>0</v>
      </c>
      <c r="G94" s="57"/>
      <c r="H94" s="28"/>
      <c r="I94" s="28"/>
      <c r="J94" s="4"/>
    </row>
    <row r="95" spans="1:10" hidden="1" x14ac:dyDescent="0.25">
      <c r="A95" s="4"/>
      <c r="C95" s="28"/>
      <c r="D95" s="28"/>
      <c r="E95" s="28"/>
      <c r="F95" s="57"/>
      <c r="G95" s="57"/>
      <c r="H95" s="28"/>
      <c r="I95" s="28"/>
      <c r="J95" s="4"/>
    </row>
    <row r="96" spans="1:10" hidden="1" x14ac:dyDescent="0.25">
      <c r="A96" s="4"/>
      <c r="C96" s="28"/>
      <c r="D96" s="28"/>
      <c r="E96" s="28"/>
      <c r="F96" s="57"/>
      <c r="G96" s="57"/>
      <c r="H96" s="28"/>
      <c r="I96" s="28"/>
      <c r="J96" s="4"/>
    </row>
    <row r="97" spans="1:10" hidden="1" x14ac:dyDescent="0.25">
      <c r="A97" s="243" t="s">
        <v>198</v>
      </c>
      <c r="B97" s="98">
        <v>0</v>
      </c>
      <c r="C97" s="100" t="s">
        <v>199</v>
      </c>
      <c r="D97" s="28"/>
      <c r="E97" s="28"/>
      <c r="F97" s="57"/>
      <c r="G97" s="57"/>
      <c r="H97" s="28"/>
      <c r="I97" s="28"/>
      <c r="J97" s="4"/>
    </row>
    <row r="98" spans="1:10" hidden="1" x14ac:dyDescent="0.25">
      <c r="A98" s="243" t="s">
        <v>200</v>
      </c>
      <c r="B98" s="98">
        <v>0</v>
      </c>
      <c r="C98" s="28" t="s">
        <v>201</v>
      </c>
      <c r="D98" s="28"/>
      <c r="E98" s="28"/>
      <c r="F98" s="57"/>
      <c r="G98" s="57"/>
      <c r="H98" s="28"/>
      <c r="I98" s="28"/>
      <c r="J98" s="4"/>
    </row>
    <row r="99" spans="1:10" hidden="1" x14ac:dyDescent="0.25">
      <c r="A99" s="243" t="s">
        <v>202</v>
      </c>
      <c r="B99" s="98">
        <v>0</v>
      </c>
      <c r="C99" s="28"/>
      <c r="D99" s="28"/>
      <c r="E99" s="28"/>
      <c r="F99" s="57"/>
      <c r="G99" s="57"/>
      <c r="H99" s="28"/>
      <c r="I99" s="28"/>
      <c r="J99" s="4"/>
    </row>
    <row r="100" spans="1:10" hidden="1" x14ac:dyDescent="0.25">
      <c r="A100" s="243" t="s">
        <v>203</v>
      </c>
      <c r="B100" s="98">
        <v>0</v>
      </c>
      <c r="C100" s="100" t="s">
        <v>204</v>
      </c>
      <c r="D100" s="28"/>
      <c r="E100" s="28"/>
      <c r="F100" s="57"/>
      <c r="G100" s="57"/>
      <c r="H100" s="28"/>
      <c r="I100" s="28"/>
      <c r="J100" s="4"/>
    </row>
    <row r="101" spans="1:10" hidden="1" x14ac:dyDescent="0.25">
      <c r="A101" s="243" t="s">
        <v>205</v>
      </c>
      <c r="B101" s="98">
        <v>0</v>
      </c>
      <c r="C101" s="28"/>
      <c r="D101" s="28"/>
      <c r="E101" s="28"/>
      <c r="F101" s="57"/>
      <c r="G101" s="57"/>
      <c r="H101" s="28"/>
      <c r="I101" s="28"/>
      <c r="J101" s="4"/>
    </row>
    <row r="102" spans="1:10" hidden="1" x14ac:dyDescent="0.25">
      <c r="A102" s="4"/>
      <c r="C102" s="28"/>
      <c r="D102" s="28"/>
      <c r="E102" s="28"/>
      <c r="F102" s="57"/>
      <c r="G102" s="57"/>
      <c r="H102" s="28"/>
      <c r="I102" s="28"/>
      <c r="J102" s="4"/>
    </row>
    <row r="103" spans="1:10" hidden="1" x14ac:dyDescent="0.25">
      <c r="A103" s="4"/>
      <c r="B103" s="339" t="s">
        <v>231</v>
      </c>
      <c r="C103" s="6"/>
      <c r="D103" s="6"/>
      <c r="E103" s="28"/>
      <c r="F103" s="94">
        <f>C103-D103</f>
        <v>0</v>
      </c>
      <c r="G103" s="57"/>
      <c r="H103" s="168"/>
      <c r="I103" s="28"/>
      <c r="J103" s="4"/>
    </row>
    <row r="104" spans="1:10" hidden="1" x14ac:dyDescent="0.25">
      <c r="A104" s="4"/>
      <c r="B104" s="339" t="s">
        <v>232</v>
      </c>
      <c r="C104" s="6">
        <f>C24+C29+C34</f>
        <v>13552.551719134199</v>
      </c>
      <c r="D104" s="6">
        <v>13552.551719134197</v>
      </c>
      <c r="E104" s="28"/>
      <c r="F104" s="94">
        <f>C104-D104</f>
        <v>0</v>
      </c>
      <c r="G104" s="57"/>
      <c r="H104" s="168"/>
      <c r="I104" s="28"/>
      <c r="J104" s="4"/>
    </row>
    <row r="105" spans="1:10" hidden="1" x14ac:dyDescent="0.25">
      <c r="A105" s="4"/>
      <c r="B105" s="339"/>
      <c r="C105" s="6"/>
      <c r="D105" s="6"/>
      <c r="E105" s="28"/>
      <c r="F105" s="94"/>
      <c r="G105" s="57"/>
      <c r="H105" s="168"/>
      <c r="I105" s="28"/>
      <c r="J105" s="4"/>
    </row>
    <row r="106" spans="1:10" hidden="1" x14ac:dyDescent="0.25">
      <c r="A106" s="4"/>
      <c r="B106" s="243" t="s">
        <v>293</v>
      </c>
      <c r="C106" s="6">
        <f>C69+C80</f>
        <v>0</v>
      </c>
      <c r="D106" s="6">
        <v>0</v>
      </c>
      <c r="E106" s="28"/>
      <c r="F106" s="94">
        <f>C106-D106</f>
        <v>0</v>
      </c>
      <c r="G106" s="57"/>
      <c r="H106" s="168"/>
      <c r="I106" s="28"/>
      <c r="J106" s="4"/>
    </row>
    <row r="107" spans="1:10" hidden="1" x14ac:dyDescent="0.25">
      <c r="A107" s="4"/>
      <c r="B107" s="243" t="s">
        <v>294</v>
      </c>
      <c r="C107" s="6">
        <f>C70+C81</f>
        <v>2463.3762301382299</v>
      </c>
      <c r="D107" s="6">
        <v>2463.3762301382299</v>
      </c>
      <c r="E107" s="28"/>
      <c r="F107" s="94">
        <f>C107-D107</f>
        <v>0</v>
      </c>
      <c r="G107" s="57"/>
      <c r="H107" s="168"/>
      <c r="I107" s="28"/>
      <c r="J107" s="4"/>
    </row>
    <row r="108" spans="1:10" hidden="1" x14ac:dyDescent="0.25">
      <c r="A108" s="4"/>
      <c r="B108" s="243" t="s">
        <v>295</v>
      </c>
      <c r="C108" s="6">
        <f>C74+C85</f>
        <v>0</v>
      </c>
      <c r="D108" s="6">
        <v>0</v>
      </c>
      <c r="E108" s="28"/>
      <c r="F108" s="94">
        <f>C108-D108</f>
        <v>0</v>
      </c>
      <c r="G108" s="57"/>
      <c r="H108" s="168"/>
      <c r="I108" s="28"/>
      <c r="J108" s="4"/>
    </row>
    <row r="109" spans="1:10" hidden="1" x14ac:dyDescent="0.25">
      <c r="A109" s="4"/>
      <c r="B109" s="243" t="s">
        <v>296</v>
      </c>
      <c r="C109" s="6">
        <f>C75+C86</f>
        <v>8312.3671719376944</v>
      </c>
      <c r="D109" s="6">
        <v>8312.3671719376944</v>
      </c>
      <c r="E109" s="28"/>
      <c r="F109" s="94">
        <f>C109-D109</f>
        <v>0</v>
      </c>
      <c r="G109" s="57"/>
      <c r="H109" s="168"/>
      <c r="I109" s="28"/>
      <c r="J109" s="4"/>
    </row>
    <row r="110" spans="1:10" hidden="1" x14ac:dyDescent="0.25">
      <c r="A110" s="4"/>
      <c r="B110" s="243"/>
      <c r="C110" s="6"/>
      <c r="D110" s="6"/>
      <c r="E110" s="28"/>
      <c r="F110" s="254"/>
      <c r="G110" s="57"/>
      <c r="H110" s="168"/>
      <c r="I110" s="28"/>
      <c r="J110" s="4"/>
    </row>
    <row r="111" spans="1:10" hidden="1" x14ac:dyDescent="0.25">
      <c r="A111" s="17" t="s">
        <v>297</v>
      </c>
      <c r="B111" s="98">
        <v>0</v>
      </c>
      <c r="C111" s="6"/>
      <c r="D111" s="6"/>
      <c r="E111" s="28"/>
      <c r="F111" s="254"/>
      <c r="G111" s="57"/>
      <c r="H111" s="168"/>
      <c r="I111" s="28"/>
      <c r="J111" s="4"/>
    </row>
    <row r="112" spans="1:10" hidden="1" x14ac:dyDescent="0.25">
      <c r="A112" s="17" t="s">
        <v>298</v>
      </c>
      <c r="B112" s="98">
        <v>0</v>
      </c>
      <c r="C112" s="6"/>
      <c r="D112" s="6"/>
      <c r="E112" s="28"/>
      <c r="F112" s="254"/>
      <c r="G112" s="57"/>
      <c r="H112" s="168"/>
      <c r="I112" s="28"/>
      <c r="J112" s="4"/>
    </row>
    <row r="113" spans="1:10" hidden="1" x14ac:dyDescent="0.25">
      <c r="A113" s="17" t="s">
        <v>299</v>
      </c>
      <c r="B113" s="98">
        <v>0</v>
      </c>
      <c r="C113" s="6"/>
      <c r="D113" s="6"/>
      <c r="E113" s="28"/>
      <c r="F113" s="254"/>
      <c r="G113" s="57"/>
      <c r="H113" s="168"/>
      <c r="I113" s="28"/>
      <c r="J113" s="4"/>
    </row>
    <row r="114" spans="1:10" hidden="1" x14ac:dyDescent="0.25">
      <c r="A114" s="17" t="s">
        <v>300</v>
      </c>
      <c r="B114" s="98">
        <v>0</v>
      </c>
      <c r="C114" s="6"/>
      <c r="D114" s="6"/>
      <c r="E114" s="28"/>
      <c r="F114" s="254"/>
      <c r="G114" s="57"/>
      <c r="H114" s="168"/>
      <c r="I114" s="28"/>
      <c r="J114" s="4"/>
    </row>
    <row r="115" spans="1:10" x14ac:dyDescent="0.25">
      <c r="A115" s="103"/>
      <c r="B115" s="204"/>
      <c r="C115" s="213"/>
      <c r="D115" s="213"/>
      <c r="E115" s="213"/>
      <c r="F115" s="57"/>
      <c r="G115" s="57"/>
      <c r="H115" s="28"/>
      <c r="I115" s="28"/>
      <c r="J115" s="4"/>
    </row>
    <row r="116" spans="1:10" x14ac:dyDescent="0.25">
      <c r="A116" s="4" t="s">
        <v>235</v>
      </c>
      <c r="C116" s="28"/>
      <c r="D116" s="28"/>
      <c r="E116" s="28"/>
      <c r="F116" s="57"/>
      <c r="G116" s="57"/>
      <c r="H116" s="28"/>
      <c r="I116" s="28"/>
      <c r="J116" s="4"/>
    </row>
    <row r="117" spans="1:10" x14ac:dyDescent="0.25">
      <c r="A117" s="17" t="s">
        <v>802</v>
      </c>
      <c r="C117" s="28"/>
      <c r="D117" s="28"/>
      <c r="E117" s="28"/>
      <c r="F117" s="57"/>
      <c r="G117" s="57"/>
      <c r="H117" s="28"/>
      <c r="I117" s="28"/>
      <c r="J117" s="4"/>
    </row>
    <row r="118" spans="1:10" x14ac:dyDescent="0.25">
      <c r="A118" s="17" t="s">
        <v>795</v>
      </c>
      <c r="C118" s="28"/>
      <c r="D118" s="28"/>
      <c r="E118" s="28"/>
      <c r="F118" s="57"/>
      <c r="G118" s="57"/>
      <c r="H118" s="28"/>
      <c r="I118" s="28"/>
      <c r="J118" s="4"/>
    </row>
    <row r="119" spans="1:10" x14ac:dyDescent="0.25">
      <c r="A119" s="4"/>
      <c r="C119" s="28"/>
      <c r="D119" s="28"/>
      <c r="E119" s="28"/>
      <c r="F119" s="57"/>
      <c r="G119" s="57"/>
      <c r="H119" s="28"/>
      <c r="I119" s="28"/>
      <c r="J119" s="4"/>
    </row>
    <row r="120" spans="1:10" x14ac:dyDescent="0.25">
      <c r="A120" s="4"/>
      <c r="C120" s="28"/>
      <c r="D120" s="28"/>
      <c r="E120" s="28"/>
      <c r="F120" s="57"/>
      <c r="G120" s="57"/>
      <c r="H120" s="28"/>
      <c r="I120" s="28"/>
      <c r="J120" s="4"/>
    </row>
    <row r="121" spans="1:10" x14ac:dyDescent="0.25">
      <c r="A121" s="4"/>
      <c r="C121" s="28"/>
      <c r="D121" s="28"/>
      <c r="E121" s="28"/>
      <c r="F121" s="57"/>
      <c r="G121" s="57"/>
      <c r="H121" s="28"/>
      <c r="I121" s="28"/>
      <c r="J121" s="4"/>
    </row>
    <row r="122" spans="1:10" x14ac:dyDescent="0.25">
      <c r="A122" s="4"/>
      <c r="C122" s="28"/>
      <c r="D122" s="28"/>
      <c r="E122" s="28"/>
      <c r="F122" s="57"/>
      <c r="G122" s="57"/>
      <c r="H122" s="28"/>
      <c r="I122" s="28"/>
      <c r="J122" s="4"/>
    </row>
    <row r="123" spans="1:10" x14ac:dyDescent="0.25">
      <c r="A123" s="4"/>
      <c r="C123" s="28"/>
      <c r="D123" s="28"/>
      <c r="E123" s="28"/>
      <c r="F123" s="57"/>
      <c r="G123" s="57"/>
      <c r="H123" s="28"/>
      <c r="I123" s="28"/>
      <c r="J123" s="4"/>
    </row>
    <row r="124" spans="1:10" x14ac:dyDescent="0.25">
      <c r="A124" s="4"/>
      <c r="C124" s="28"/>
      <c r="D124" s="28"/>
      <c r="E124" s="28"/>
      <c r="F124" s="57"/>
      <c r="G124" s="57"/>
      <c r="H124" s="28"/>
      <c r="I124" s="28"/>
      <c r="J124" s="4"/>
    </row>
    <row r="125" spans="1:10" x14ac:dyDescent="0.25">
      <c r="A125" s="4"/>
      <c r="C125" s="28"/>
      <c r="D125" s="28"/>
      <c r="E125" s="28"/>
      <c r="F125" s="57"/>
      <c r="G125" s="57"/>
      <c r="H125" s="28"/>
      <c r="I125" s="28"/>
      <c r="J125" s="4"/>
    </row>
  </sheetData>
  <phoneticPr fontId="5" type="noConversion"/>
  <printOptions horizontalCentered="1"/>
  <pageMargins left="0.75" right="0.75" top="1" bottom="1" header="0.5" footer="0.5"/>
  <pageSetup fitToHeight="3" orientation="landscape" r:id="rId1"/>
  <headerFooter alignWithMargins="0">
    <oddFooter>&amp;L&amp;F</oddFooter>
  </headerFooter>
  <rowBreaks count="2" manualBreakCount="2">
    <brk id="36" max="16383" man="1"/>
    <brk id="62"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dimension ref="A1:K125"/>
  <sheetViews>
    <sheetView zoomScale="70" zoomScaleNormal="70" workbookViewId="0"/>
  </sheetViews>
  <sheetFormatPr defaultRowHeight="12.5" x14ac:dyDescent="0.25"/>
  <cols>
    <col min="1" max="1" width="29.453125" customWidth="1"/>
    <col min="2" max="4" width="11.6328125" customWidth="1"/>
    <col min="5" max="5" width="2.6328125" customWidth="1"/>
    <col min="6" max="6" width="11.6328125" customWidth="1"/>
    <col min="7" max="7" width="2.6328125" customWidth="1"/>
    <col min="8" max="9" width="11.6328125" customWidth="1"/>
    <col min="11" max="11" width="9.36328125" bestFit="1" customWidth="1"/>
  </cols>
  <sheetData>
    <row r="1" spans="1:11" ht="15.75" customHeight="1" x14ac:dyDescent="0.35">
      <c r="A1" s="117" t="s">
        <v>561</v>
      </c>
    </row>
    <row r="2" spans="1:11" ht="15.75" customHeight="1" x14ac:dyDescent="0.35">
      <c r="A2" s="117" t="s">
        <v>787</v>
      </c>
    </row>
    <row r="3" spans="1:11" ht="25" x14ac:dyDescent="0.25">
      <c r="B3" s="125" t="s">
        <v>250</v>
      </c>
      <c r="C3" s="138" t="s">
        <v>249</v>
      </c>
      <c r="D3" s="8" t="s">
        <v>104</v>
      </c>
      <c r="E3" s="8"/>
      <c r="F3" s="142" t="s">
        <v>246</v>
      </c>
      <c r="G3" s="65"/>
      <c r="H3" s="119" t="s">
        <v>218</v>
      </c>
      <c r="I3" s="31" t="s">
        <v>133</v>
      </c>
      <c r="J3" s="4"/>
    </row>
    <row r="4" spans="1:11" ht="13" x14ac:dyDescent="0.3">
      <c r="A4" s="14" t="s">
        <v>291</v>
      </c>
      <c r="B4" s="125"/>
      <c r="C4" s="138"/>
      <c r="D4" s="8"/>
      <c r="E4" s="8"/>
      <c r="F4" s="142"/>
      <c r="G4" s="65"/>
      <c r="H4" s="119"/>
      <c r="I4" s="31"/>
      <c r="J4" s="4"/>
    </row>
    <row r="5" spans="1:11" ht="12.75" customHeight="1" x14ac:dyDescent="0.25">
      <c r="A5" s="66" t="s">
        <v>174</v>
      </c>
      <c r="B5" s="125"/>
      <c r="C5" s="138"/>
      <c r="D5" s="8"/>
      <c r="E5" s="8"/>
      <c r="F5" s="65"/>
      <c r="G5" s="65"/>
      <c r="H5" s="119"/>
      <c r="I5" s="31"/>
      <c r="J5" s="4"/>
    </row>
    <row r="6" spans="1:11" x14ac:dyDescent="0.25">
      <c r="A6" s="59" t="s">
        <v>278</v>
      </c>
      <c r="C6" s="29"/>
      <c r="D6" s="3"/>
      <c r="E6" s="3"/>
      <c r="F6" s="54"/>
      <c r="G6" s="54"/>
      <c r="H6" s="3"/>
      <c r="I6" s="3"/>
      <c r="J6" s="4"/>
    </row>
    <row r="7" spans="1:11" x14ac:dyDescent="0.25">
      <c r="A7" s="251" t="s">
        <v>130</v>
      </c>
      <c r="B7" s="75">
        <v>0</v>
      </c>
      <c r="C7" s="36">
        <v>0</v>
      </c>
      <c r="D7" s="61" t="str">
        <f>IF(ISERROR(C7/B7),"n/a",C7/B7)</f>
        <v>n/a</v>
      </c>
      <c r="E7" s="31"/>
      <c r="F7" s="39">
        <v>1.7351466784479892</v>
      </c>
      <c r="G7" s="55"/>
      <c r="H7" s="32">
        <f>C7*F7</f>
        <v>0</v>
      </c>
      <c r="I7" s="61" t="str">
        <f>IF(ISERROR(H7/B7),"n/a",H7/B7)</f>
        <v>n/a</v>
      </c>
      <c r="J7" s="4"/>
      <c r="K7" s="252"/>
    </row>
    <row r="8" spans="1:11" x14ac:dyDescent="0.25">
      <c r="A8" s="250" t="s">
        <v>292</v>
      </c>
      <c r="B8" s="75">
        <v>21528.388978911371</v>
      </c>
      <c r="C8" s="36">
        <v>3892.0359899036998</v>
      </c>
      <c r="D8" s="61">
        <f>IF(ISERROR(C8/B8),"n/a",C8/B8)</f>
        <v>0.18078621645661611</v>
      </c>
      <c r="E8" s="31"/>
      <c r="F8" s="39">
        <v>1.7351466784479892</v>
      </c>
      <c r="G8" s="55"/>
      <c r="H8" s="32">
        <f>C8*F8</f>
        <v>6753.2533202814366</v>
      </c>
      <c r="I8" s="61">
        <f>IF(ISERROR(H8/B8),"n/a",H8/B8)</f>
        <v>0.31369060299387663</v>
      </c>
      <c r="J8" s="4"/>
    </row>
    <row r="9" spans="1:11" x14ac:dyDescent="0.25">
      <c r="A9" s="251" t="s">
        <v>102</v>
      </c>
      <c r="B9" s="75">
        <f>SUM(B7:B8)</f>
        <v>21528.388978911371</v>
      </c>
      <c r="C9" s="108">
        <f>SUM(C7:C8)</f>
        <v>3892.0359899036998</v>
      </c>
      <c r="D9" s="61">
        <f>IF(ISERROR(C9/B9),"n/a",C9/B9)</f>
        <v>0.18078621645661611</v>
      </c>
      <c r="E9" s="31"/>
      <c r="F9" s="39"/>
      <c r="G9" s="20"/>
      <c r="H9" s="32">
        <f>SUM(H7:H8)</f>
        <v>6753.2533202814366</v>
      </c>
      <c r="I9" s="61">
        <f>H9/B9</f>
        <v>0.31369060299387663</v>
      </c>
      <c r="J9" s="4"/>
    </row>
    <row r="10" spans="1:11" ht="5.15" customHeight="1" x14ac:dyDescent="0.25">
      <c r="A10" s="60"/>
      <c r="B10" s="75"/>
      <c r="C10" s="108"/>
      <c r="D10" s="61"/>
      <c r="E10" s="31"/>
      <c r="F10" s="39"/>
      <c r="G10" s="20"/>
      <c r="H10" s="32"/>
      <c r="I10" s="61"/>
      <c r="J10" s="4"/>
    </row>
    <row r="11" spans="1:11" x14ac:dyDescent="0.25">
      <c r="A11" s="59" t="s">
        <v>274</v>
      </c>
      <c r="B11" s="13"/>
      <c r="C11" s="36"/>
      <c r="D11" s="61"/>
      <c r="E11" s="31"/>
      <c r="F11" s="55"/>
      <c r="G11" s="55"/>
      <c r="H11" s="32"/>
      <c r="I11" s="61"/>
      <c r="J11" s="4"/>
    </row>
    <row r="12" spans="1:11" x14ac:dyDescent="0.25">
      <c r="A12" s="251" t="s">
        <v>130</v>
      </c>
      <c r="B12" s="75">
        <v>0</v>
      </c>
      <c r="C12" s="36">
        <v>0</v>
      </c>
      <c r="D12" s="61" t="str">
        <f>IF(ISERROR(C12/B12),"n/a",C12/B12)</f>
        <v>n/a</v>
      </c>
      <c r="E12" s="31"/>
      <c r="F12" s="39">
        <v>1.7351466784479892</v>
      </c>
      <c r="G12" s="20"/>
      <c r="H12" s="32">
        <f>C12*F12</f>
        <v>0</v>
      </c>
      <c r="I12" s="61" t="str">
        <f>IF(ISERROR(H12/B12),"n/a",H12/B12)</f>
        <v>n/a</v>
      </c>
      <c r="J12" s="4"/>
    </row>
    <row r="13" spans="1:11" x14ac:dyDescent="0.25">
      <c r="A13" s="250" t="s">
        <v>292</v>
      </c>
      <c r="B13" s="75">
        <v>10778.96324905483</v>
      </c>
      <c r="C13" s="36">
        <v>1948.6879831215369</v>
      </c>
      <c r="D13" s="61">
        <f>IF(ISERROR(C13/B13),"n/a",C13/B13)</f>
        <v>0.18078621645661613</v>
      </c>
      <c r="E13" s="31"/>
      <c r="F13" s="39">
        <v>1.7351466784479892</v>
      </c>
      <c r="G13" s="20"/>
      <c r="H13" s="32">
        <f>C13*F13</f>
        <v>3381.259481244846</v>
      </c>
      <c r="I13" s="61">
        <f>IF(ISERROR(H13/B13),"n/a",H13/B13)</f>
        <v>0.31369060299387669</v>
      </c>
      <c r="J13" s="4"/>
    </row>
    <row r="14" spans="1:11" x14ac:dyDescent="0.25">
      <c r="A14" s="251" t="s">
        <v>102</v>
      </c>
      <c r="B14" s="75">
        <f>SUM(B12:B13)</f>
        <v>10778.96324905483</v>
      </c>
      <c r="C14" s="108">
        <f>SUM(C12:C13)</f>
        <v>1948.6879831215369</v>
      </c>
      <c r="D14" s="61">
        <f>IF(ISERROR(C14/B14),"n/a",C14/B14)</f>
        <v>0.18078621645661613</v>
      </c>
      <c r="E14" s="31"/>
      <c r="F14" s="39"/>
      <c r="G14" s="20"/>
      <c r="H14" s="32">
        <f>SUM(H12:H13)</f>
        <v>3381.259481244846</v>
      </c>
      <c r="I14" s="61">
        <f>H14/B14</f>
        <v>0.31369060299387669</v>
      </c>
      <c r="J14" s="4"/>
    </row>
    <row r="15" spans="1:11" ht="5.15" customHeight="1" x14ac:dyDescent="0.25">
      <c r="A15" s="60"/>
      <c r="B15" s="75"/>
      <c r="C15" s="108"/>
      <c r="D15" s="61"/>
      <c r="E15" s="31"/>
      <c r="F15" s="39"/>
      <c r="G15" s="20"/>
      <c r="H15" s="32"/>
      <c r="I15" s="61"/>
      <c r="J15" s="4"/>
    </row>
    <row r="16" spans="1:11" x14ac:dyDescent="0.25">
      <c r="A16" s="59" t="s">
        <v>279</v>
      </c>
      <c r="B16" s="75"/>
      <c r="C16" s="36"/>
      <c r="D16" s="63"/>
      <c r="E16" s="63"/>
      <c r="F16" s="39"/>
      <c r="G16" s="39"/>
      <c r="H16" s="36"/>
      <c r="I16" s="63"/>
      <c r="J16" s="4"/>
    </row>
    <row r="17" spans="1:10" x14ac:dyDescent="0.25">
      <c r="A17" s="251" t="s">
        <v>130</v>
      </c>
      <c r="B17" s="75">
        <v>0</v>
      </c>
      <c r="C17" s="36">
        <v>0</v>
      </c>
      <c r="D17" s="61" t="str">
        <f>IF(ISERROR(C17/B17),"n/a",C17/B17)</f>
        <v>n/a</v>
      </c>
      <c r="E17" s="31"/>
      <c r="F17" s="39">
        <v>1.7351466784479892</v>
      </c>
      <c r="G17" s="39"/>
      <c r="H17" s="32">
        <f>C17*F17</f>
        <v>0</v>
      </c>
      <c r="I17" s="61" t="str">
        <f>IF(ISERROR(H17/B17),"n/a",H17/B17)</f>
        <v>n/a</v>
      </c>
      <c r="J17" s="4"/>
    </row>
    <row r="18" spans="1:10" x14ac:dyDescent="0.25">
      <c r="A18" s="250" t="s">
        <v>292</v>
      </c>
      <c r="B18" s="75">
        <v>2108.5057281075656</v>
      </c>
      <c r="C18" s="36">
        <v>381.18877296166954</v>
      </c>
      <c r="D18" s="61">
        <f>IF(ISERROR(C18/B18),"n/a",C18/B18)</f>
        <v>0.18078621645661622</v>
      </c>
      <c r="E18" s="31"/>
      <c r="F18" s="39">
        <v>1.7351466784479892</v>
      </c>
      <c r="G18" s="39"/>
      <c r="H18" s="32">
        <f>C18*F18</f>
        <v>661.41843326610558</v>
      </c>
      <c r="I18" s="61">
        <f>IF(ISERROR(H18/B18),"n/a",H18/B18)</f>
        <v>0.31369060299387685</v>
      </c>
      <c r="J18" s="4"/>
    </row>
    <row r="19" spans="1:10" x14ac:dyDescent="0.25">
      <c r="A19" s="251" t="s">
        <v>102</v>
      </c>
      <c r="B19" s="75">
        <f>SUM(B17:B18)</f>
        <v>2108.5057281075656</v>
      </c>
      <c r="C19" s="108">
        <f>SUM(C17:C18)</f>
        <v>381.18877296166954</v>
      </c>
      <c r="D19" s="61">
        <f>IF(ISERROR(C19/B19),"n/a",C19/B19)</f>
        <v>0.18078621645661622</v>
      </c>
      <c r="E19" s="31"/>
      <c r="F19" s="39"/>
      <c r="G19" s="20"/>
      <c r="H19" s="32">
        <f>SUM(H17:H18)</f>
        <v>661.41843326610558</v>
      </c>
      <c r="I19" s="61">
        <f>H19/B19</f>
        <v>0.31369060299387685</v>
      </c>
      <c r="J19" s="4"/>
    </row>
    <row r="20" spans="1:10" x14ac:dyDescent="0.25">
      <c r="A20" s="4"/>
      <c r="B20" s="75"/>
      <c r="C20" s="108"/>
      <c r="D20" s="61"/>
      <c r="E20" s="31"/>
      <c r="F20" s="39"/>
      <c r="G20" s="20"/>
      <c r="H20" s="32"/>
      <c r="I20" s="61"/>
      <c r="J20" s="4"/>
    </row>
    <row r="21" spans="1:10" x14ac:dyDescent="0.25">
      <c r="A21" s="66" t="s">
        <v>175</v>
      </c>
      <c r="B21" s="13"/>
      <c r="C21" s="36"/>
      <c r="D21" s="63"/>
      <c r="E21" s="35"/>
      <c r="F21" s="56"/>
      <c r="G21" s="56"/>
      <c r="H21" s="36"/>
      <c r="I21" s="63"/>
      <c r="J21" s="4"/>
    </row>
    <row r="22" spans="1:10" x14ac:dyDescent="0.25">
      <c r="A22" s="59" t="s">
        <v>278</v>
      </c>
      <c r="B22" s="20"/>
      <c r="C22" s="36"/>
      <c r="D22" s="63"/>
      <c r="E22" s="20"/>
      <c r="F22" s="20"/>
      <c r="G22" s="20"/>
      <c r="H22" s="36"/>
      <c r="I22" s="63"/>
      <c r="J22" s="4"/>
    </row>
    <row r="23" spans="1:10" x14ac:dyDescent="0.25">
      <c r="A23" s="251" t="s">
        <v>130</v>
      </c>
      <c r="B23" s="75">
        <v>0</v>
      </c>
      <c r="C23" s="36">
        <f>D23*B23</f>
        <v>0</v>
      </c>
      <c r="D23" s="61">
        <v>0</v>
      </c>
      <c r="E23" s="31"/>
      <c r="F23" s="39">
        <v>1.7351466784479892</v>
      </c>
      <c r="G23" s="20"/>
      <c r="H23" s="32">
        <f>C23*F23</f>
        <v>0</v>
      </c>
      <c r="I23" s="61" t="str">
        <f>IF(ISERROR(H23/B23),"n/a",H23/B23)</f>
        <v>n/a</v>
      </c>
      <c r="J23" s="4"/>
    </row>
    <row r="24" spans="1:10" x14ac:dyDescent="0.25">
      <c r="A24" s="250" t="s">
        <v>292</v>
      </c>
      <c r="B24" s="75">
        <v>1263.7910447522713</v>
      </c>
      <c r="C24" s="36">
        <f>D24*B24</f>
        <v>420.14746311703084</v>
      </c>
      <c r="D24" s="61">
        <v>0.33245010309389261</v>
      </c>
      <c r="E24" s="31"/>
      <c r="F24" s="39">
        <v>1.7351466784479892</v>
      </c>
      <c r="G24" s="20"/>
      <c r="H24" s="32">
        <f>C24*F24</f>
        <v>729.01747508586516</v>
      </c>
      <c r="I24" s="61">
        <f>IF(ISERROR(H24/B24),"n/a",H24/B24)</f>
        <v>0.57684969213305937</v>
      </c>
      <c r="J24" s="4"/>
    </row>
    <row r="25" spans="1:10" x14ac:dyDescent="0.25">
      <c r="A25" s="251" t="s">
        <v>102</v>
      </c>
      <c r="B25" s="75">
        <f>SUM(B23:B24)</f>
        <v>1263.7910447522713</v>
      </c>
      <c r="C25" s="108">
        <f>SUM(C23:C24)</f>
        <v>420.14746311703084</v>
      </c>
      <c r="D25" s="61">
        <f>IF(ISERROR(C25/B25),"n/a",C25/B25)</f>
        <v>0.33245010309389261</v>
      </c>
      <c r="E25" s="31"/>
      <c r="F25" s="39"/>
      <c r="G25" s="20"/>
      <c r="H25" s="32">
        <f>SUM(H23:H24)</f>
        <v>729.01747508586516</v>
      </c>
      <c r="I25" s="61">
        <f>H25/B25</f>
        <v>0.57684969213305937</v>
      </c>
      <c r="J25" s="4"/>
    </row>
    <row r="26" spans="1:10" ht="5.15" customHeight="1" x14ac:dyDescent="0.25">
      <c r="A26" s="60"/>
      <c r="B26" s="13"/>
      <c r="C26" s="36"/>
      <c r="D26" s="63"/>
      <c r="E26" s="35"/>
      <c r="F26" s="56"/>
      <c r="G26" s="56"/>
      <c r="H26" s="36"/>
      <c r="I26" s="63"/>
      <c r="J26" s="4"/>
    </row>
    <row r="27" spans="1:10" x14ac:dyDescent="0.25">
      <c r="A27" s="59" t="s">
        <v>274</v>
      </c>
      <c r="B27" s="20"/>
      <c r="C27" s="36"/>
      <c r="D27" s="63"/>
      <c r="E27" s="20"/>
      <c r="F27" s="20"/>
      <c r="G27" s="20"/>
      <c r="H27" s="36"/>
      <c r="I27" s="63"/>
      <c r="J27" s="4"/>
    </row>
    <row r="28" spans="1:10" x14ac:dyDescent="0.25">
      <c r="A28" s="251" t="s">
        <v>130</v>
      </c>
      <c r="B28" s="75">
        <v>0</v>
      </c>
      <c r="C28" s="36">
        <f>D28*B28</f>
        <v>0</v>
      </c>
      <c r="D28" s="61">
        <v>0</v>
      </c>
      <c r="E28" s="31"/>
      <c r="F28" s="39">
        <v>1.7351466784479892</v>
      </c>
      <c r="G28" s="56"/>
      <c r="H28" s="32">
        <f>C28*F28</f>
        <v>0</v>
      </c>
      <c r="I28" s="61" t="str">
        <f>IF(ISERROR(H28/B28),"n/a",H28/B28)</f>
        <v>n/a</v>
      </c>
      <c r="J28" s="4"/>
    </row>
    <row r="29" spans="1:10" x14ac:dyDescent="0.25">
      <c r="A29" s="250" t="s">
        <v>292</v>
      </c>
      <c r="B29" s="75">
        <v>70.705919531524955</v>
      </c>
      <c r="C29" s="36">
        <f>D29*B29</f>
        <v>23.506190237603942</v>
      </c>
      <c r="D29" s="61">
        <v>0.33245010309389256</v>
      </c>
      <c r="E29" s="31"/>
      <c r="F29" s="39">
        <v>1.7351466784479892</v>
      </c>
      <c r="G29" s="56"/>
      <c r="H29" s="32">
        <f>C29*F29</f>
        <v>40.786687913745027</v>
      </c>
      <c r="I29" s="61">
        <f>IF(ISERROR(H29/B29),"n/a",H29/B29)</f>
        <v>0.57684969213305914</v>
      </c>
      <c r="J29" s="4"/>
    </row>
    <row r="30" spans="1:10" x14ac:dyDescent="0.25">
      <c r="A30" s="251" t="s">
        <v>102</v>
      </c>
      <c r="B30" s="75">
        <f>SUM(B28:B29)</f>
        <v>70.705919531524955</v>
      </c>
      <c r="C30" s="108">
        <f>SUM(C28:C29)</f>
        <v>23.506190237603942</v>
      </c>
      <c r="D30" s="61">
        <f>IF(ISERROR(C30/B30),"n/a",C30/B30)</f>
        <v>0.33245010309389256</v>
      </c>
      <c r="E30" s="31"/>
      <c r="F30" s="39"/>
      <c r="G30" s="20"/>
      <c r="H30" s="32">
        <f>SUM(H28:H29)</f>
        <v>40.786687913745027</v>
      </c>
      <c r="I30" s="61">
        <f>IF(ISERROR(H30/B30),"n/a",H30/B30)</f>
        <v>0.57684969213305914</v>
      </c>
      <c r="J30" s="4"/>
    </row>
    <row r="31" spans="1:10" ht="5.15" customHeight="1" x14ac:dyDescent="0.25">
      <c r="A31" s="60"/>
      <c r="B31" s="13"/>
      <c r="C31" s="36"/>
      <c r="D31" s="63"/>
      <c r="E31" s="35"/>
      <c r="F31" s="56"/>
      <c r="G31" s="56"/>
      <c r="H31" s="36"/>
      <c r="I31" s="63"/>
      <c r="J31" s="4"/>
    </row>
    <row r="32" spans="1:10" x14ac:dyDescent="0.25">
      <c r="A32" s="59" t="s">
        <v>279</v>
      </c>
      <c r="B32" s="13"/>
      <c r="C32" s="36"/>
      <c r="D32" s="63"/>
      <c r="E32" s="35"/>
      <c r="F32" s="56"/>
      <c r="G32" s="56"/>
      <c r="H32" s="36"/>
      <c r="I32" s="63"/>
      <c r="J32" s="4"/>
    </row>
    <row r="33" spans="1:10" x14ac:dyDescent="0.25">
      <c r="A33" s="251" t="s">
        <v>130</v>
      </c>
      <c r="B33" s="75">
        <v>0</v>
      </c>
      <c r="C33" s="36">
        <f>D33*B33</f>
        <v>0</v>
      </c>
      <c r="D33" s="61">
        <v>0</v>
      </c>
      <c r="E33" s="31"/>
      <c r="F33" s="39">
        <v>1.7351466784479892</v>
      </c>
      <c r="G33" s="56"/>
      <c r="H33" s="32">
        <f>C33*F33</f>
        <v>0</v>
      </c>
      <c r="I33" s="61" t="str">
        <f>IF(ISERROR(H33/B33),"n/a",H33/B33)</f>
        <v>n/a</v>
      </c>
      <c r="J33" s="4"/>
    </row>
    <row r="34" spans="1:10" x14ac:dyDescent="0.25">
      <c r="A34" s="250" t="s">
        <v>292</v>
      </c>
      <c r="B34" s="75">
        <v>1619.7567857162035</v>
      </c>
      <c r="C34" s="36">
        <f>D34*B34</f>
        <v>538.48831039838365</v>
      </c>
      <c r="D34" s="61">
        <v>0.33245010309389245</v>
      </c>
      <c r="E34" s="31"/>
      <c r="F34" s="39">
        <v>1.7351466784479892</v>
      </c>
      <c r="G34" s="56"/>
      <c r="H34" s="32">
        <f>C34*F34</f>
        <v>934.35620317082521</v>
      </c>
      <c r="I34" s="61">
        <f>IF(ISERROR(H34/B34),"n/a",H34/B34)</f>
        <v>0.57684969213305903</v>
      </c>
      <c r="J34" s="4"/>
    </row>
    <row r="35" spans="1:10" x14ac:dyDescent="0.25">
      <c r="A35" s="251" t="s">
        <v>102</v>
      </c>
      <c r="B35" s="75">
        <f>SUM(B33:B34)</f>
        <v>1619.7567857162035</v>
      </c>
      <c r="C35" s="108">
        <f>SUM(C33:C34)</f>
        <v>538.48831039838365</v>
      </c>
      <c r="D35" s="61">
        <f>IF(ISERROR(C35/B35),"n/a",C35/B35)</f>
        <v>0.33245010309389239</v>
      </c>
      <c r="E35" s="31"/>
      <c r="F35" s="39"/>
      <c r="G35" s="20"/>
      <c r="H35" s="32">
        <f>SUM(H33:H34)</f>
        <v>934.35620317082521</v>
      </c>
      <c r="I35" s="61">
        <f>H35/B35</f>
        <v>0.57684969213305903</v>
      </c>
      <c r="J35" s="4"/>
    </row>
    <row r="36" spans="1:10" x14ac:dyDescent="0.25">
      <c r="A36" s="60"/>
      <c r="B36" s="75"/>
      <c r="C36" s="36"/>
      <c r="D36" s="61"/>
      <c r="E36" s="31"/>
      <c r="F36" s="39"/>
      <c r="G36" s="56"/>
      <c r="H36" s="32"/>
      <c r="I36" s="61"/>
      <c r="J36" s="4"/>
    </row>
    <row r="37" spans="1:10" ht="15.5" x14ac:dyDescent="0.35">
      <c r="A37" s="117" t="s">
        <v>652</v>
      </c>
      <c r="J37" s="4"/>
    </row>
    <row r="38" spans="1:10" ht="15.5" x14ac:dyDescent="0.35">
      <c r="A38" s="117" t="s">
        <v>787</v>
      </c>
      <c r="J38" s="4"/>
    </row>
    <row r="39" spans="1:10" ht="25" x14ac:dyDescent="0.25">
      <c r="B39" s="125" t="s">
        <v>250</v>
      </c>
      <c r="C39" s="138" t="s">
        <v>249</v>
      </c>
      <c r="D39" s="8" t="s">
        <v>104</v>
      </c>
      <c r="E39" s="8"/>
      <c r="F39" s="142" t="s">
        <v>246</v>
      </c>
      <c r="G39" s="65"/>
      <c r="H39" s="119" t="s">
        <v>218</v>
      </c>
      <c r="I39" s="31" t="s">
        <v>133</v>
      </c>
      <c r="J39" s="4"/>
    </row>
    <row r="40" spans="1:10" ht="13" x14ac:dyDescent="0.3">
      <c r="A40" s="14" t="s">
        <v>290</v>
      </c>
      <c r="B40" s="13"/>
      <c r="C40" s="36"/>
      <c r="D40" s="63"/>
      <c r="E40" s="35"/>
      <c r="F40" s="56"/>
      <c r="G40" s="56"/>
      <c r="H40" s="36"/>
      <c r="I40" s="63"/>
      <c r="J40" s="4"/>
    </row>
    <row r="41" spans="1:10" x14ac:dyDescent="0.25">
      <c r="A41" s="66" t="s">
        <v>170</v>
      </c>
      <c r="B41" s="20"/>
      <c r="C41" s="36"/>
      <c r="D41" s="63"/>
      <c r="E41" s="20"/>
      <c r="F41" s="20"/>
      <c r="G41" s="20"/>
      <c r="H41" s="36"/>
      <c r="I41" s="63"/>
      <c r="J41" s="4"/>
    </row>
    <row r="42" spans="1:10" x14ac:dyDescent="0.25">
      <c r="A42" s="59" t="s">
        <v>289</v>
      </c>
      <c r="B42" s="75"/>
      <c r="C42" s="36"/>
      <c r="D42" s="61"/>
      <c r="E42" s="31"/>
      <c r="F42" s="39"/>
      <c r="G42" s="55"/>
      <c r="H42" s="32"/>
      <c r="I42" s="61"/>
      <c r="J42" s="4"/>
    </row>
    <row r="43" spans="1:10" x14ac:dyDescent="0.25">
      <c r="A43" s="251" t="s">
        <v>130</v>
      </c>
      <c r="B43" s="75">
        <v>0</v>
      </c>
      <c r="C43" s="36">
        <v>0</v>
      </c>
      <c r="D43" s="61" t="str">
        <f>IF(ISERROR(C43/B43),"n/a",C43/B43)</f>
        <v>n/a</v>
      </c>
      <c r="E43" s="31"/>
      <c r="F43" s="39">
        <v>1.7351466784479892</v>
      </c>
      <c r="G43" s="20"/>
      <c r="H43" s="32">
        <f>C43*F43</f>
        <v>0</v>
      </c>
      <c r="I43" s="61" t="str">
        <f>IF(ISERROR(H43/B43),"n/a",H43/B43)</f>
        <v>n/a</v>
      </c>
      <c r="J43" s="4"/>
    </row>
    <row r="44" spans="1:10" x14ac:dyDescent="0.25">
      <c r="A44" s="250" t="s">
        <v>292</v>
      </c>
      <c r="B44" s="75">
        <v>0</v>
      </c>
      <c r="C44" s="36">
        <v>0</v>
      </c>
      <c r="D44" s="61" t="str">
        <f>IF(ISERROR(C44/B44),"n/a",C44/B44)</f>
        <v>n/a</v>
      </c>
      <c r="E44" s="31"/>
      <c r="F44" s="39">
        <v>1.7351466784479892</v>
      </c>
      <c r="G44" s="20"/>
      <c r="H44" s="32">
        <f>C44*F44</f>
        <v>0</v>
      </c>
      <c r="I44" s="61" t="str">
        <f>IF(ISERROR(H44/B44),"n/a",H44/B44)</f>
        <v>n/a</v>
      </c>
      <c r="J44" s="4"/>
    </row>
    <row r="45" spans="1:10" x14ac:dyDescent="0.25">
      <c r="A45" s="251" t="s">
        <v>102</v>
      </c>
      <c r="B45" s="75">
        <f>SUM(B43:B44)</f>
        <v>0</v>
      </c>
      <c r="C45" s="108">
        <f>SUM(C43:C44)</f>
        <v>0</v>
      </c>
      <c r="D45" s="61" t="str">
        <f>IF(ISERROR(C45/B45),"n/a",C45/B45)</f>
        <v>n/a</v>
      </c>
      <c r="E45" s="31"/>
      <c r="F45" s="39"/>
      <c r="G45" s="20"/>
      <c r="H45" s="32">
        <f>SUM(H43:H44)</f>
        <v>0</v>
      </c>
      <c r="I45" s="61" t="str">
        <f>IF(ISERROR(H45/B45),"n/a",H45/B45)</f>
        <v>n/a</v>
      </c>
      <c r="J45" s="4"/>
    </row>
    <row r="46" spans="1:10" ht="5.15" customHeight="1" x14ac:dyDescent="0.3">
      <c r="A46" s="80"/>
      <c r="B46" s="75"/>
      <c r="C46" s="108"/>
      <c r="D46" s="61"/>
      <c r="E46" s="31"/>
      <c r="F46" s="39"/>
      <c r="G46" s="20"/>
      <c r="H46" s="32"/>
      <c r="I46" s="61"/>
      <c r="J46" s="4"/>
    </row>
    <row r="47" spans="1:10" x14ac:dyDescent="0.25">
      <c r="A47" s="59" t="s">
        <v>168</v>
      </c>
      <c r="B47" s="75"/>
      <c r="C47" s="36"/>
      <c r="D47" s="61"/>
      <c r="E47" s="31"/>
      <c r="F47" s="39"/>
      <c r="G47" s="20"/>
      <c r="H47" s="32"/>
      <c r="I47" s="61"/>
      <c r="J47" s="4"/>
    </row>
    <row r="48" spans="1:10" x14ac:dyDescent="0.25">
      <c r="A48" s="251" t="s">
        <v>130</v>
      </c>
      <c r="B48" s="75">
        <v>0</v>
      </c>
      <c r="C48" s="36">
        <v>0</v>
      </c>
      <c r="D48" s="61" t="str">
        <f>IF(ISERROR(C48/B48),"n/a",C48/B48)</f>
        <v>n/a</v>
      </c>
      <c r="E48" s="31"/>
      <c r="F48" s="39">
        <v>1.7351466784479892</v>
      </c>
      <c r="G48" s="55"/>
      <c r="H48" s="32">
        <f>C48*F48</f>
        <v>0</v>
      </c>
      <c r="I48" s="61" t="str">
        <f>IF(ISERROR(H48/B48),"n/a",H48/B48)</f>
        <v>n/a</v>
      </c>
      <c r="J48" s="4"/>
    </row>
    <row r="49" spans="1:10" x14ac:dyDescent="0.25">
      <c r="A49" s="250" t="s">
        <v>292</v>
      </c>
      <c r="B49" s="75">
        <v>0</v>
      </c>
      <c r="C49" s="36">
        <v>0</v>
      </c>
      <c r="D49" s="61" t="str">
        <f>IF(ISERROR(C49/B49),"n/a",C49/B49)</f>
        <v>n/a</v>
      </c>
      <c r="E49" s="31"/>
      <c r="F49" s="39">
        <v>1.7351466784479892</v>
      </c>
      <c r="G49" s="55"/>
      <c r="H49" s="32">
        <f>C49*F49</f>
        <v>0</v>
      </c>
      <c r="I49" s="61" t="str">
        <f>IF(ISERROR(H49/B49),"n/a",H49/B49)</f>
        <v>n/a</v>
      </c>
      <c r="J49" s="4"/>
    </row>
    <row r="50" spans="1:10" x14ac:dyDescent="0.25">
      <c r="A50" s="251" t="s">
        <v>102</v>
      </c>
      <c r="B50" s="75">
        <f>SUM(B48:B49)</f>
        <v>0</v>
      </c>
      <c r="C50" s="108">
        <f>SUM(C48:C49)</f>
        <v>0</v>
      </c>
      <c r="D50" s="61" t="str">
        <f>IF(ISERROR(C50/B50),"n/a",C50/B50)</f>
        <v>n/a</v>
      </c>
      <c r="E50" s="31"/>
      <c r="F50" s="39"/>
      <c r="G50" s="20"/>
      <c r="H50" s="32">
        <f>SUM(H48:H49)</f>
        <v>0</v>
      </c>
      <c r="I50" s="61" t="str">
        <f>IF(ISERROR(H50/B50),"n/a",H50/B50)</f>
        <v>n/a</v>
      </c>
      <c r="J50" s="4"/>
    </row>
    <row r="51" spans="1:10" ht="5.15" customHeight="1" x14ac:dyDescent="0.3">
      <c r="A51" s="80"/>
      <c r="B51" s="75"/>
      <c r="C51" s="108"/>
      <c r="D51" s="61"/>
      <c r="E51" s="31"/>
      <c r="F51" s="39"/>
      <c r="G51" s="20"/>
      <c r="H51" s="32"/>
      <c r="I51" s="61"/>
      <c r="J51" s="4"/>
    </row>
    <row r="52" spans="1:10" x14ac:dyDescent="0.25">
      <c r="A52" s="66" t="s">
        <v>169</v>
      </c>
      <c r="B52" s="13"/>
      <c r="C52" s="36"/>
      <c r="D52" s="63"/>
      <c r="E52" s="35"/>
      <c r="F52" s="56"/>
      <c r="G52" s="56"/>
      <c r="H52" s="36"/>
      <c r="I52" s="63"/>
      <c r="J52" s="4"/>
    </row>
    <row r="53" spans="1:10" x14ac:dyDescent="0.25">
      <c r="A53" s="59" t="s">
        <v>289</v>
      </c>
      <c r="B53" s="13"/>
      <c r="C53" s="36"/>
      <c r="D53" s="63"/>
      <c r="E53" s="35"/>
      <c r="F53" s="56"/>
      <c r="G53" s="56"/>
      <c r="H53" s="36"/>
      <c r="I53" s="63"/>
      <c r="J53" s="4"/>
    </row>
    <row r="54" spans="1:10" x14ac:dyDescent="0.25">
      <c r="A54" s="251" t="s">
        <v>130</v>
      </c>
      <c r="B54" s="75">
        <v>0</v>
      </c>
      <c r="C54" s="36">
        <v>0</v>
      </c>
      <c r="D54" s="61" t="str">
        <f>IF(ISERROR(C54/B54),"n/a",C54/B54)</f>
        <v>n/a</v>
      </c>
      <c r="E54" s="31"/>
      <c r="F54" s="39">
        <v>1.7351466784479892</v>
      </c>
      <c r="G54" s="55"/>
      <c r="H54" s="32">
        <f>IF(B54=0,0,C54*F54)</f>
        <v>0</v>
      </c>
      <c r="I54" s="61" t="str">
        <f>IF(ISERROR(H54/B54),"n/a",H54/B54)</f>
        <v>n/a</v>
      </c>
      <c r="J54" s="4"/>
    </row>
    <row r="55" spans="1:10" x14ac:dyDescent="0.25">
      <c r="A55" s="250" t="s">
        <v>292</v>
      </c>
      <c r="B55" s="75">
        <v>0</v>
      </c>
      <c r="C55" s="36">
        <v>0</v>
      </c>
      <c r="D55" s="61" t="str">
        <f>IF(ISERROR(C55/B55),"n/a",C55/B55)</f>
        <v>n/a</v>
      </c>
      <c r="E55" s="31"/>
      <c r="F55" s="39">
        <v>1.7351466784479892</v>
      </c>
      <c r="G55" s="55"/>
      <c r="H55" s="32">
        <f>C55*F55</f>
        <v>0</v>
      </c>
      <c r="I55" s="61" t="str">
        <f>IF(ISERROR(H55/B55),"n/a",H55/B55)</f>
        <v>n/a</v>
      </c>
      <c r="J55" s="4"/>
    </row>
    <row r="56" spans="1:10" x14ac:dyDescent="0.25">
      <c r="A56" s="251" t="s">
        <v>102</v>
      </c>
      <c r="B56" s="75">
        <f>SUM(B54:B55)</f>
        <v>0</v>
      </c>
      <c r="C56" s="108">
        <f>SUM(C54:C55)</f>
        <v>0</v>
      </c>
      <c r="D56" s="61" t="str">
        <f>IF(ISERROR(C56/B56),"n/a",C56/B56)</f>
        <v>n/a</v>
      </c>
      <c r="E56" s="31"/>
      <c r="F56" s="39"/>
      <c r="G56" s="20"/>
      <c r="H56" s="32">
        <f>SUM(H54:H55)</f>
        <v>0</v>
      </c>
      <c r="I56" s="61" t="str">
        <f>IF(ISERROR(H56/B56),"n/a",H56/B56)</f>
        <v>n/a</v>
      </c>
      <c r="J56" s="4"/>
    </row>
    <row r="57" spans="1:10" ht="5.15" customHeight="1" x14ac:dyDescent="0.3">
      <c r="A57" s="80"/>
      <c r="B57" s="75"/>
      <c r="C57" s="108"/>
      <c r="D57" s="61"/>
      <c r="E57" s="31"/>
      <c r="F57" s="39"/>
      <c r="G57" s="20"/>
      <c r="H57" s="32"/>
      <c r="I57" s="61"/>
      <c r="J57" s="4"/>
    </row>
    <row r="58" spans="1:10" x14ac:dyDescent="0.25">
      <c r="A58" s="59" t="s">
        <v>168</v>
      </c>
      <c r="B58" s="13"/>
      <c r="C58" s="36"/>
      <c r="D58" s="63"/>
      <c r="E58" s="35"/>
      <c r="F58" s="56"/>
      <c r="G58" s="56"/>
      <c r="H58" s="36"/>
      <c r="I58" s="63"/>
      <c r="J58" s="4"/>
    </row>
    <row r="59" spans="1:10" x14ac:dyDescent="0.25">
      <c r="A59" s="251" t="s">
        <v>130</v>
      </c>
      <c r="B59" s="75">
        <v>0</v>
      </c>
      <c r="C59" s="36">
        <v>0</v>
      </c>
      <c r="D59" s="61" t="str">
        <f>IF(ISERROR(C59/B59),"n/a",C59/B59)</f>
        <v>n/a</v>
      </c>
      <c r="E59" s="31"/>
      <c r="F59" s="39">
        <v>1.7351466784479892</v>
      </c>
      <c r="G59" s="55"/>
      <c r="H59" s="32">
        <f>C59*F59</f>
        <v>0</v>
      </c>
      <c r="I59" s="61" t="str">
        <f>IF(ISERROR(H59/B59),"n/a",H59/B59)</f>
        <v>n/a</v>
      </c>
      <c r="J59" s="4"/>
    </row>
    <row r="60" spans="1:10" x14ac:dyDescent="0.25">
      <c r="A60" s="250" t="s">
        <v>292</v>
      </c>
      <c r="B60" s="75">
        <v>0</v>
      </c>
      <c r="C60" s="36">
        <v>0</v>
      </c>
      <c r="D60" s="61" t="str">
        <f>IF(ISERROR(C60/B60),"n/a",C60/B60)</f>
        <v>n/a</v>
      </c>
      <c r="E60" s="31"/>
      <c r="F60" s="39">
        <v>1.7351466784479892</v>
      </c>
      <c r="G60" s="55"/>
      <c r="H60" s="32">
        <f>C60*F60</f>
        <v>0</v>
      </c>
      <c r="I60" s="61" t="str">
        <f>IF(ISERROR(H60/B60),"n/a",H60/B60)</f>
        <v>n/a</v>
      </c>
      <c r="J60" s="4"/>
    </row>
    <row r="61" spans="1:10" x14ac:dyDescent="0.25">
      <c r="A61" s="251" t="s">
        <v>102</v>
      </c>
      <c r="B61" s="75">
        <f>SUM(B59:B60)</f>
        <v>0</v>
      </c>
      <c r="C61" s="108">
        <f>SUM(C59:C60)</f>
        <v>0</v>
      </c>
      <c r="D61" s="61" t="str">
        <f>IF(ISERROR(C61/B61),"n/a",C61/B61)</f>
        <v>n/a</v>
      </c>
      <c r="E61" s="31"/>
      <c r="F61" s="39"/>
      <c r="G61" s="20"/>
      <c r="H61" s="32">
        <f>SUM(H59:H60)</f>
        <v>0</v>
      </c>
      <c r="I61" s="61" t="str">
        <f>IF(ISERROR(H61/B61),"n/a",H61/B61)</f>
        <v>n/a</v>
      </c>
      <c r="J61" s="4"/>
    </row>
    <row r="62" spans="1:10" x14ac:dyDescent="0.25">
      <c r="A62" s="251"/>
      <c r="B62" s="75"/>
      <c r="C62" s="108"/>
      <c r="D62" s="61"/>
      <c r="E62" s="31"/>
      <c r="F62" s="39"/>
      <c r="G62" s="20"/>
      <c r="H62" s="32"/>
      <c r="I62" s="61"/>
      <c r="J62" s="4"/>
    </row>
    <row r="63" spans="1:10" ht="15.5" x14ac:dyDescent="0.35">
      <c r="A63" s="117" t="s">
        <v>653</v>
      </c>
      <c r="J63" s="4"/>
    </row>
    <row r="64" spans="1:10" ht="15.5" x14ac:dyDescent="0.35">
      <c r="A64" s="117" t="s">
        <v>787</v>
      </c>
      <c r="J64" s="4"/>
    </row>
    <row r="65" spans="1:10" ht="25" x14ac:dyDescent="0.25">
      <c r="B65" s="125" t="s">
        <v>250</v>
      </c>
      <c r="C65" s="138" t="s">
        <v>249</v>
      </c>
      <c r="D65" s="8" t="s">
        <v>104</v>
      </c>
      <c r="E65" s="8"/>
      <c r="F65" s="142" t="s">
        <v>246</v>
      </c>
      <c r="G65" s="65"/>
      <c r="H65" s="119" t="s">
        <v>218</v>
      </c>
      <c r="I65" s="31" t="s">
        <v>133</v>
      </c>
      <c r="J65" s="4"/>
    </row>
    <row r="66" spans="1:10" ht="13" x14ac:dyDescent="0.3">
      <c r="A66" s="14" t="s">
        <v>783</v>
      </c>
      <c r="B66" s="125"/>
      <c r="C66" s="138"/>
      <c r="D66" s="8"/>
      <c r="E66" s="8"/>
      <c r="F66" s="142"/>
      <c r="G66" s="65"/>
      <c r="H66" s="119"/>
      <c r="I66" s="31"/>
      <c r="J66" s="4"/>
    </row>
    <row r="67" spans="1:10" x14ac:dyDescent="0.25">
      <c r="A67" s="66" t="s">
        <v>174</v>
      </c>
      <c r="B67" s="75"/>
      <c r="C67" s="108"/>
      <c r="D67" s="61"/>
      <c r="E67" s="31"/>
      <c r="F67" s="39"/>
      <c r="G67" s="20"/>
      <c r="H67" s="32"/>
      <c r="I67" s="61"/>
      <c r="J67" s="4"/>
    </row>
    <row r="68" spans="1:10" x14ac:dyDescent="0.25">
      <c r="A68" s="60" t="s">
        <v>274</v>
      </c>
      <c r="B68" s="75"/>
      <c r="C68" s="108"/>
      <c r="D68" s="61"/>
      <c r="E68" s="31"/>
      <c r="F68" s="39"/>
      <c r="G68" s="20"/>
      <c r="H68" s="32"/>
      <c r="I68" s="61"/>
      <c r="J68" s="4"/>
    </row>
    <row r="69" spans="1:10" x14ac:dyDescent="0.25">
      <c r="A69" s="251" t="s">
        <v>130</v>
      </c>
      <c r="B69" s="75">
        <v>0</v>
      </c>
      <c r="C69" s="36">
        <v>0</v>
      </c>
      <c r="D69" s="61" t="str">
        <f>IF(ISERROR(C69/B69),"n/a",C69/B69)</f>
        <v>n/a</v>
      </c>
      <c r="E69" s="31"/>
      <c r="F69" s="39">
        <v>1.7351466784479892</v>
      </c>
      <c r="G69" s="20"/>
      <c r="H69" s="32">
        <f>C69*F69</f>
        <v>0</v>
      </c>
      <c r="I69" s="61" t="str">
        <f>IF(ISERROR(H69/B69),"n/a",H69/B69)</f>
        <v>n/a</v>
      </c>
      <c r="J69" s="4"/>
    </row>
    <row r="70" spans="1:10" x14ac:dyDescent="0.25">
      <c r="A70" s="250" t="s">
        <v>292</v>
      </c>
      <c r="B70" s="75">
        <v>1534.0275895865668</v>
      </c>
      <c r="C70" s="36">
        <v>22.337228707953443</v>
      </c>
      <c r="D70" s="61">
        <f>IF(ISERROR(C70/B70),"n/a",C70/B70)</f>
        <v>1.4561164909669917E-2</v>
      </c>
      <c r="E70" s="31"/>
      <c r="F70" s="39">
        <v>1.7351466784479892</v>
      </c>
      <c r="G70" s="20"/>
      <c r="H70" s="32">
        <f>C70*F70</f>
        <v>38.758368198338488</v>
      </c>
      <c r="I70" s="61">
        <f>IF(ISERROR(H70/B70),"n/a",H70/B70)</f>
        <v>2.5265756927347175E-2</v>
      </c>
      <c r="J70" s="4"/>
    </row>
    <row r="71" spans="1:10" x14ac:dyDescent="0.25">
      <c r="A71" s="251" t="s">
        <v>102</v>
      </c>
      <c r="B71" s="75">
        <f>SUM(B69:B70)</f>
        <v>1534.0275895865668</v>
      </c>
      <c r="C71" s="36">
        <f>SUM(C69:C70)</f>
        <v>22.337228707953443</v>
      </c>
      <c r="D71" s="61">
        <f>IF(ISERROR(C71/B71),"n/a",C71/B71)</f>
        <v>1.4561164909669917E-2</v>
      </c>
      <c r="E71" s="31"/>
      <c r="F71" s="39"/>
      <c r="G71" s="20"/>
      <c r="H71" s="32">
        <f>SUM(H69:H70)</f>
        <v>38.758368198338488</v>
      </c>
      <c r="I71" s="61">
        <f>H71/B71</f>
        <v>2.5265756927347175E-2</v>
      </c>
      <c r="J71" s="4"/>
    </row>
    <row r="72" spans="1:10" ht="5.15" customHeight="1" x14ac:dyDescent="0.3">
      <c r="A72" s="80"/>
      <c r="B72" s="75"/>
      <c r="C72" s="108"/>
      <c r="D72" s="61"/>
      <c r="E72" s="31"/>
      <c r="F72" s="39"/>
      <c r="G72" s="20"/>
      <c r="H72" s="32"/>
      <c r="I72" s="61"/>
      <c r="J72" s="4"/>
    </row>
    <row r="73" spans="1:10" x14ac:dyDescent="0.25">
      <c r="A73" s="59" t="s">
        <v>279</v>
      </c>
      <c r="B73" s="75"/>
      <c r="C73" s="108"/>
      <c r="D73" s="61"/>
      <c r="E73" s="31"/>
      <c r="F73" s="39"/>
      <c r="G73" s="20"/>
      <c r="H73" s="32"/>
      <c r="I73" s="61"/>
      <c r="J73" s="4"/>
    </row>
    <row r="74" spans="1:10" x14ac:dyDescent="0.25">
      <c r="A74" s="251" t="s">
        <v>130</v>
      </c>
      <c r="B74" s="75">
        <v>0</v>
      </c>
      <c r="C74" s="36">
        <v>0</v>
      </c>
      <c r="D74" s="61" t="str">
        <f>IF(ISERROR(C74/B74),"n/a",C74/B74)</f>
        <v>n/a</v>
      </c>
      <c r="E74" s="31"/>
      <c r="F74" s="39">
        <v>1.7351466784479892</v>
      </c>
      <c r="G74" s="20"/>
      <c r="H74" s="32">
        <f>C74*F74</f>
        <v>0</v>
      </c>
      <c r="I74" s="61" t="str">
        <f>IF(ISERROR(H74/B74),"n/a",H74/B74)</f>
        <v>n/a</v>
      </c>
      <c r="J74" s="4"/>
    </row>
    <row r="75" spans="1:10" x14ac:dyDescent="0.25">
      <c r="A75" s="250" t="s">
        <v>292</v>
      </c>
      <c r="B75" s="75">
        <v>4442.6714536686259</v>
      </c>
      <c r="C75" s="36">
        <v>64.690471676351535</v>
      </c>
      <c r="D75" s="61">
        <f>IF(ISERROR(C75/B75),"n/a",C75/B75)</f>
        <v>1.456116490966985E-2</v>
      </c>
      <c r="E75" s="31"/>
      <c r="F75" s="39">
        <v>1.7351466784479892</v>
      </c>
      <c r="G75" s="20"/>
      <c r="H75" s="32">
        <f>C75*F75</f>
        <v>112.24745705645509</v>
      </c>
      <c r="I75" s="61">
        <f>IF(ISERROR(H75/B75),"n/a",H75/B75)</f>
        <v>2.5265756927347054E-2</v>
      </c>
      <c r="J75" s="4"/>
    </row>
    <row r="76" spans="1:10" x14ac:dyDescent="0.25">
      <c r="A76" s="251" t="s">
        <v>102</v>
      </c>
      <c r="B76" s="75">
        <f>SUM(B74:B75)</f>
        <v>4442.6714536686259</v>
      </c>
      <c r="C76" s="36">
        <f>SUM(C74:C75)</f>
        <v>64.690471676351535</v>
      </c>
      <c r="D76" s="61">
        <f>IF(ISERROR(C76/B76),"n/a",C76/B76)</f>
        <v>1.456116490966985E-2</v>
      </c>
      <c r="E76" s="31"/>
      <c r="F76" s="39"/>
      <c r="G76" s="20"/>
      <c r="H76" s="32">
        <f>SUM(H74:H75)</f>
        <v>112.24745705645509</v>
      </c>
      <c r="I76" s="61">
        <f>H76/B76</f>
        <v>2.5265756927347054E-2</v>
      </c>
      <c r="J76" s="4"/>
    </row>
    <row r="77" spans="1:10" ht="5.15" customHeight="1" x14ac:dyDescent="0.25">
      <c r="A77" s="251"/>
      <c r="B77" s="75"/>
      <c r="C77" s="108"/>
      <c r="D77" s="61"/>
      <c r="E77" s="31"/>
      <c r="F77" s="39"/>
      <c r="G77" s="20"/>
      <c r="H77" s="32"/>
      <c r="I77" s="61"/>
      <c r="J77" s="4"/>
    </row>
    <row r="78" spans="1:10" x14ac:dyDescent="0.25">
      <c r="A78" s="18" t="s">
        <v>308</v>
      </c>
      <c r="B78" s="75"/>
      <c r="C78" s="108"/>
      <c r="D78" s="61"/>
      <c r="E78" s="31"/>
      <c r="F78" s="39"/>
      <c r="G78" s="20"/>
      <c r="H78" s="32"/>
      <c r="I78" s="61"/>
      <c r="J78" s="4"/>
    </row>
    <row r="79" spans="1:10" x14ac:dyDescent="0.25">
      <c r="A79" s="60" t="s">
        <v>274</v>
      </c>
      <c r="B79" s="75"/>
      <c r="C79" s="108"/>
      <c r="D79" s="61"/>
      <c r="E79" s="31"/>
      <c r="F79" s="39"/>
      <c r="G79" s="20"/>
      <c r="H79" s="32"/>
      <c r="I79" s="61"/>
      <c r="J79" s="4"/>
    </row>
    <row r="80" spans="1:10" x14ac:dyDescent="0.25">
      <c r="A80" s="251" t="s">
        <v>130</v>
      </c>
      <c r="B80" s="75">
        <v>0</v>
      </c>
      <c r="C80" s="108">
        <v>0</v>
      </c>
      <c r="D80" s="61" t="str">
        <f>IF(ISERROR(C80/B80),"n/a",C80/B80)</f>
        <v>n/a</v>
      </c>
      <c r="E80" s="31"/>
      <c r="F80" s="39">
        <v>1.7351466784479892</v>
      </c>
      <c r="G80" s="20"/>
      <c r="H80" s="32">
        <f>C80*F80</f>
        <v>0</v>
      </c>
      <c r="I80" s="61" t="str">
        <f>IF(ISERROR(H80/B80),"n/a",H80/B80)</f>
        <v>n/a</v>
      </c>
      <c r="J80" s="4"/>
    </row>
    <row r="81" spans="1:10" x14ac:dyDescent="0.25">
      <c r="A81" s="250" t="s">
        <v>292</v>
      </c>
      <c r="B81" s="75">
        <v>1534.0275895865668</v>
      </c>
      <c r="C81" s="108">
        <v>409.35409587876364</v>
      </c>
      <c r="D81" s="61">
        <f>IF(ISERROR(C81/B81),"n/a",C81/B81)</f>
        <v>0.26684923964704438</v>
      </c>
      <c r="E81" s="31"/>
      <c r="F81" s="39">
        <v>1.7351466784479892</v>
      </c>
      <c r="G81" s="20"/>
      <c r="H81" s="32">
        <f>C81*F81</f>
        <v>710.28939977311643</v>
      </c>
      <c r="I81" s="61">
        <f>IF(ISERROR(H81/B81),"n/a",H81/B81)</f>
        <v>0.46302257181994055</v>
      </c>
      <c r="J81" s="4"/>
    </row>
    <row r="82" spans="1:10" x14ac:dyDescent="0.25">
      <c r="A82" s="251" t="s">
        <v>102</v>
      </c>
      <c r="B82" s="75">
        <f>SUM(B80:B81)</f>
        <v>1534.0275895865668</v>
      </c>
      <c r="C82" s="36">
        <f>SUM(C80:C81)</f>
        <v>409.35409587876364</v>
      </c>
      <c r="D82" s="61">
        <f>IF(ISERROR(C82/B82),"n/a",C82/B82)</f>
        <v>0.26684923964704438</v>
      </c>
      <c r="E82" s="31"/>
      <c r="F82" s="39"/>
      <c r="G82" s="20"/>
      <c r="H82" s="32">
        <f>SUM(H80:H81)</f>
        <v>710.28939977311643</v>
      </c>
      <c r="I82" s="61">
        <f>H82/B82</f>
        <v>0.46302257181994055</v>
      </c>
      <c r="J82" s="4"/>
    </row>
    <row r="83" spans="1:10" ht="5.15" customHeight="1" x14ac:dyDescent="0.3">
      <c r="A83" s="80"/>
      <c r="B83" s="75"/>
      <c r="C83" s="108"/>
      <c r="D83" s="61"/>
      <c r="E83" s="31"/>
      <c r="F83" s="39"/>
      <c r="G83" s="20"/>
      <c r="H83" s="32"/>
      <c r="I83" s="61"/>
      <c r="J83" s="4"/>
    </row>
    <row r="84" spans="1:10" x14ac:dyDescent="0.25">
      <c r="A84" s="59" t="s">
        <v>279</v>
      </c>
      <c r="B84" s="75"/>
      <c r="C84" s="108"/>
      <c r="D84" s="61"/>
      <c r="E84" s="31"/>
      <c r="F84" s="39"/>
      <c r="G84" s="20"/>
      <c r="H84" s="32"/>
      <c r="I84" s="61"/>
      <c r="J84" s="4"/>
    </row>
    <row r="85" spans="1:10" x14ac:dyDescent="0.25">
      <c r="A85" s="251" t="s">
        <v>130</v>
      </c>
      <c r="B85" s="75">
        <v>0</v>
      </c>
      <c r="C85" s="108">
        <v>0</v>
      </c>
      <c r="D85" s="61" t="str">
        <f>IF(ISERROR(C85/B85),"n/a",C85/B85)</f>
        <v>n/a</v>
      </c>
      <c r="E85" s="31"/>
      <c r="F85" s="39">
        <v>1.7351466784479892</v>
      </c>
      <c r="G85" s="20"/>
      <c r="H85" s="32">
        <f>C85*F85</f>
        <v>0</v>
      </c>
      <c r="I85" s="61" t="str">
        <f>IF(ISERROR(H85/B85),"n/a",H85/B85)</f>
        <v>n/a</v>
      </c>
      <c r="J85" s="4"/>
    </row>
    <row r="86" spans="1:10" x14ac:dyDescent="0.25">
      <c r="A86" s="250" t="s">
        <v>292</v>
      </c>
      <c r="B86" s="75">
        <v>4442.6714536686259</v>
      </c>
      <c r="C86" s="108">
        <v>1185.5234994131024</v>
      </c>
      <c r="D86" s="61">
        <f>IF(ISERROR(C86/B86),"n/a",C86/B86)</f>
        <v>0.26684923964704443</v>
      </c>
      <c r="E86" s="31"/>
      <c r="F86" s="39">
        <v>1.7351466784479892</v>
      </c>
      <c r="G86" s="20"/>
      <c r="H86" s="32">
        <f>C86*F86</f>
        <v>2057.0571622286811</v>
      </c>
      <c r="I86" s="61">
        <f>IF(ISERROR(H86/B86),"n/a",H86/B86)</f>
        <v>0.46302257181994055</v>
      </c>
      <c r="J86" s="4"/>
    </row>
    <row r="87" spans="1:10" x14ac:dyDescent="0.25">
      <c r="A87" s="251" t="s">
        <v>102</v>
      </c>
      <c r="B87" s="75">
        <f>SUM(B85:B86)</f>
        <v>4442.6714536686259</v>
      </c>
      <c r="C87" s="36">
        <f>SUM(C85:C86)</f>
        <v>1185.5234994131024</v>
      </c>
      <c r="D87" s="61">
        <f>IF(ISERROR(C87/B87),"n/a",C87/B87)</f>
        <v>0.26684923964704443</v>
      </c>
      <c r="E87" s="31"/>
      <c r="F87" s="39"/>
      <c r="G87" s="20"/>
      <c r="H87" s="32">
        <f>SUM(H85:H86)</f>
        <v>2057.0571622286811</v>
      </c>
      <c r="I87" s="61">
        <f>H87/B87</f>
        <v>0.46302257181994055</v>
      </c>
      <c r="J87" s="4"/>
    </row>
    <row r="88" spans="1:10" hidden="1" x14ac:dyDescent="0.25">
      <c r="A88" s="250"/>
      <c r="B88" s="75"/>
      <c r="C88" s="36"/>
      <c r="D88" s="61"/>
      <c r="E88" s="31"/>
      <c r="F88" s="39"/>
      <c r="G88" s="20"/>
      <c r="H88" s="32"/>
      <c r="I88" s="61"/>
      <c r="J88" s="4"/>
    </row>
    <row r="89" spans="1:10" hidden="1" x14ac:dyDescent="0.25">
      <c r="A89" s="251"/>
      <c r="B89" s="75"/>
      <c r="C89" s="36"/>
      <c r="D89" s="61"/>
      <c r="E89" s="31"/>
      <c r="F89" s="39"/>
      <c r="G89" s="20"/>
      <c r="H89" s="32"/>
      <c r="I89" s="61"/>
      <c r="J89" s="4"/>
    </row>
    <row r="90" spans="1:10" hidden="1" x14ac:dyDescent="0.25">
      <c r="B90" s="13" t="s">
        <v>193</v>
      </c>
      <c r="C90" s="6">
        <f>SUM(C7,C12,C17,C23,C28,C33,C43,C48,C54,C59)</f>
        <v>0</v>
      </c>
      <c r="D90" s="24">
        <v>0</v>
      </c>
      <c r="E90" s="89"/>
      <c r="F90" s="94">
        <f>C90-D90</f>
        <v>0</v>
      </c>
      <c r="G90" s="57"/>
      <c r="H90" s="28"/>
      <c r="I90" s="28"/>
      <c r="J90" s="4"/>
    </row>
    <row r="91" spans="1:10" hidden="1" x14ac:dyDescent="0.25">
      <c r="A91" s="4"/>
      <c r="B91" s="13" t="s">
        <v>194</v>
      </c>
      <c r="C91" s="6">
        <f>SUM(C8,C13,C18,C24,C29,C34,C44,C49,C55,C60)</f>
        <v>7204.054709739924</v>
      </c>
      <c r="D91" s="24">
        <v>7204.054709739924</v>
      </c>
      <c r="E91" s="96"/>
      <c r="F91" s="94">
        <f>C91-D91</f>
        <v>0</v>
      </c>
      <c r="G91" s="57"/>
      <c r="H91" s="28"/>
      <c r="I91" s="28"/>
      <c r="J91" s="4"/>
    </row>
    <row r="92" spans="1:10" hidden="1" x14ac:dyDescent="0.25">
      <c r="A92" s="4"/>
      <c r="B92" s="13" t="s">
        <v>195</v>
      </c>
      <c r="C92" s="6">
        <f>SUM(C90:C91)</f>
        <v>7204.054709739924</v>
      </c>
      <c r="D92" s="6">
        <f>SUM(D90:D91)</f>
        <v>7204.054709739924</v>
      </c>
      <c r="E92" s="101"/>
      <c r="F92" s="94">
        <f>C92-D92</f>
        <v>0</v>
      </c>
      <c r="G92" s="57"/>
      <c r="H92" s="28"/>
      <c r="I92" s="28"/>
      <c r="J92" s="4"/>
    </row>
    <row r="93" spans="1:10" hidden="1" x14ac:dyDescent="0.25">
      <c r="A93" s="4"/>
      <c r="B93" s="339" t="s">
        <v>196</v>
      </c>
      <c r="C93" s="24">
        <f>C43+C48+C54+C59</f>
        <v>0</v>
      </c>
      <c r="D93" s="24">
        <v>0</v>
      </c>
      <c r="E93" s="96"/>
      <c r="F93" s="94">
        <f>C93-D93</f>
        <v>0</v>
      </c>
      <c r="G93" s="57"/>
      <c r="H93" s="28"/>
      <c r="I93" s="28"/>
      <c r="J93" s="4"/>
    </row>
    <row r="94" spans="1:10" hidden="1" x14ac:dyDescent="0.25">
      <c r="A94" s="4"/>
      <c r="B94" s="339" t="s">
        <v>197</v>
      </c>
      <c r="C94" s="24">
        <f>C44+C49+C55+C60</f>
        <v>0</v>
      </c>
      <c r="D94" s="24">
        <v>0</v>
      </c>
      <c r="E94" s="96"/>
      <c r="F94" s="94">
        <f>C94-D94</f>
        <v>0</v>
      </c>
      <c r="G94" s="57"/>
      <c r="H94" s="28"/>
      <c r="I94" s="28"/>
      <c r="J94" s="4"/>
    </row>
    <row r="95" spans="1:10" hidden="1" x14ac:dyDescent="0.25">
      <c r="A95" s="4"/>
      <c r="C95" s="28"/>
      <c r="D95" s="28"/>
      <c r="E95" s="28"/>
      <c r="F95" s="57"/>
      <c r="G95" s="57"/>
      <c r="H95" s="28"/>
      <c r="I95" s="28"/>
      <c r="J95" s="4"/>
    </row>
    <row r="96" spans="1:10" hidden="1" x14ac:dyDescent="0.25">
      <c r="A96" s="4"/>
      <c r="C96" s="28"/>
      <c r="D96" s="28"/>
      <c r="E96" s="28"/>
      <c r="F96" s="57"/>
      <c r="G96" s="57"/>
      <c r="H96" s="28"/>
      <c r="I96" s="28"/>
      <c r="J96" s="4"/>
    </row>
    <row r="97" spans="1:10" hidden="1" x14ac:dyDescent="0.25">
      <c r="A97" s="243" t="s">
        <v>198</v>
      </c>
      <c r="B97" s="98">
        <v>0</v>
      </c>
      <c r="C97" s="100" t="s">
        <v>199</v>
      </c>
      <c r="D97" s="28"/>
      <c r="E97" s="28"/>
      <c r="F97" s="57"/>
      <c r="G97" s="57"/>
      <c r="H97" s="28"/>
      <c r="I97" s="28"/>
      <c r="J97" s="4"/>
    </row>
    <row r="98" spans="1:10" hidden="1" x14ac:dyDescent="0.25">
      <c r="A98" s="243" t="s">
        <v>200</v>
      </c>
      <c r="B98" s="98">
        <v>0</v>
      </c>
      <c r="C98" s="28" t="s">
        <v>201</v>
      </c>
      <c r="D98" s="28"/>
      <c r="E98" s="28"/>
      <c r="F98" s="57"/>
      <c r="G98" s="57"/>
      <c r="H98" s="28"/>
      <c r="I98" s="28"/>
      <c r="J98" s="4"/>
    </row>
    <row r="99" spans="1:10" hidden="1" x14ac:dyDescent="0.25">
      <c r="A99" s="243" t="s">
        <v>202</v>
      </c>
      <c r="B99" s="98">
        <v>0</v>
      </c>
      <c r="C99" s="28"/>
      <c r="D99" s="28"/>
      <c r="E99" s="28"/>
      <c r="F99" s="57"/>
      <c r="G99" s="57"/>
      <c r="H99" s="28"/>
      <c r="I99" s="28"/>
      <c r="J99" s="4"/>
    </row>
    <row r="100" spans="1:10" hidden="1" x14ac:dyDescent="0.25">
      <c r="A100" s="243" t="s">
        <v>203</v>
      </c>
      <c r="B100" s="98">
        <v>0</v>
      </c>
      <c r="C100" s="100" t="s">
        <v>204</v>
      </c>
      <c r="D100" s="28"/>
      <c r="E100" s="28"/>
      <c r="F100" s="57"/>
      <c r="G100" s="57"/>
      <c r="H100" s="28"/>
      <c r="I100" s="28"/>
      <c r="J100" s="4"/>
    </row>
    <row r="101" spans="1:10" hidden="1" x14ac:dyDescent="0.25">
      <c r="A101" s="243" t="s">
        <v>205</v>
      </c>
      <c r="B101" s="98">
        <v>0</v>
      </c>
      <c r="C101" s="28"/>
      <c r="D101" s="28"/>
      <c r="E101" s="28"/>
      <c r="F101" s="57"/>
      <c r="G101" s="57"/>
      <c r="H101" s="28"/>
      <c r="I101" s="28"/>
      <c r="J101" s="4"/>
    </row>
    <row r="102" spans="1:10" hidden="1" x14ac:dyDescent="0.25">
      <c r="A102" s="4"/>
      <c r="C102" s="28"/>
      <c r="D102" s="28"/>
      <c r="E102" s="28"/>
      <c r="F102" s="57"/>
      <c r="G102" s="57"/>
      <c r="H102" s="28"/>
      <c r="I102" s="28"/>
      <c r="J102" s="4"/>
    </row>
    <row r="103" spans="1:10" hidden="1" x14ac:dyDescent="0.25">
      <c r="A103" s="4"/>
      <c r="B103" s="339" t="s">
        <v>231</v>
      </c>
      <c r="C103" s="6">
        <f>C23+C28+C33</f>
        <v>0</v>
      </c>
      <c r="D103" s="6">
        <v>0</v>
      </c>
      <c r="E103" s="28"/>
      <c r="F103" s="94">
        <f>C103-D103</f>
        <v>0</v>
      </c>
      <c r="G103" s="57"/>
      <c r="H103" s="168"/>
      <c r="I103" s="28"/>
      <c r="J103" s="4"/>
    </row>
    <row r="104" spans="1:10" hidden="1" x14ac:dyDescent="0.25">
      <c r="A104" s="4"/>
      <c r="B104" s="339" t="s">
        <v>232</v>
      </c>
      <c r="C104" s="6">
        <f>C24+C29+C34</f>
        <v>982.14196375301844</v>
      </c>
      <c r="D104" s="6">
        <v>982.14196375301833</v>
      </c>
      <c r="E104" s="28"/>
      <c r="F104" s="94">
        <f>C104-D104</f>
        <v>0</v>
      </c>
      <c r="G104" s="57"/>
      <c r="H104" s="168"/>
      <c r="I104" s="28"/>
      <c r="J104" s="4"/>
    </row>
    <row r="105" spans="1:10" hidden="1" x14ac:dyDescent="0.25">
      <c r="A105" s="4"/>
      <c r="B105" s="339"/>
      <c r="C105" s="6"/>
      <c r="D105" s="6"/>
      <c r="E105" s="28"/>
      <c r="F105" s="94"/>
      <c r="G105" s="57"/>
      <c r="H105" s="168"/>
      <c r="I105" s="28"/>
      <c r="J105" s="4"/>
    </row>
    <row r="106" spans="1:10" hidden="1" x14ac:dyDescent="0.25">
      <c r="A106" s="4"/>
      <c r="B106" s="243" t="s">
        <v>293</v>
      </c>
      <c r="C106" s="6">
        <f>C69+C80</f>
        <v>0</v>
      </c>
      <c r="D106" s="6">
        <v>0</v>
      </c>
      <c r="E106" s="28"/>
      <c r="F106" s="94">
        <f>C106-D106</f>
        <v>0</v>
      </c>
      <c r="G106" s="57"/>
      <c r="H106" s="168"/>
      <c r="I106" s="28"/>
      <c r="J106" s="4"/>
    </row>
    <row r="107" spans="1:10" hidden="1" x14ac:dyDescent="0.25">
      <c r="A107" s="4"/>
      <c r="B107" s="243" t="s">
        <v>294</v>
      </c>
      <c r="C107" s="6">
        <f>C70+C81</f>
        <v>431.69132458671709</v>
      </c>
      <c r="D107" s="6">
        <v>431.69132458671709</v>
      </c>
      <c r="E107" s="28"/>
      <c r="F107" s="94">
        <f>C107-D107</f>
        <v>0</v>
      </c>
      <c r="G107" s="57"/>
      <c r="H107" s="168"/>
      <c r="I107" s="28"/>
      <c r="J107" s="4"/>
    </row>
    <row r="108" spans="1:10" hidden="1" x14ac:dyDescent="0.25">
      <c r="A108" s="4"/>
      <c r="B108" s="243" t="s">
        <v>295</v>
      </c>
      <c r="C108" s="6">
        <f>C74+C85</f>
        <v>0</v>
      </c>
      <c r="D108" s="6">
        <v>0</v>
      </c>
      <c r="E108" s="28"/>
      <c r="F108" s="94">
        <f>C108-D108</f>
        <v>0</v>
      </c>
      <c r="G108" s="57"/>
      <c r="H108" s="168"/>
      <c r="I108" s="28"/>
      <c r="J108" s="4"/>
    </row>
    <row r="109" spans="1:10" hidden="1" x14ac:dyDescent="0.25">
      <c r="A109" s="4"/>
      <c r="B109" s="243" t="s">
        <v>296</v>
      </c>
      <c r="C109" s="6">
        <f>C75+C86</f>
        <v>1250.2139710894539</v>
      </c>
      <c r="D109" s="6">
        <v>1250.2139710894539</v>
      </c>
      <c r="E109" s="28"/>
      <c r="F109" s="94">
        <f>C109-D109</f>
        <v>0</v>
      </c>
      <c r="G109" s="57"/>
      <c r="H109" s="168"/>
      <c r="I109" s="28"/>
      <c r="J109" s="4"/>
    </row>
    <row r="110" spans="1:10" hidden="1" x14ac:dyDescent="0.25">
      <c r="A110" s="4"/>
      <c r="B110" s="243"/>
      <c r="C110" s="6"/>
      <c r="D110" s="6"/>
      <c r="E110" s="28"/>
      <c r="F110" s="254"/>
      <c r="G110" s="57"/>
      <c r="H110" s="168"/>
      <c r="I110" s="28"/>
      <c r="J110" s="4"/>
    </row>
    <row r="111" spans="1:10" hidden="1" x14ac:dyDescent="0.25">
      <c r="A111" s="17" t="s">
        <v>297</v>
      </c>
      <c r="B111" s="98">
        <v>0</v>
      </c>
      <c r="C111" s="6"/>
      <c r="D111" s="6"/>
      <c r="E111" s="28"/>
      <c r="F111" s="254"/>
      <c r="G111" s="57"/>
      <c r="H111" s="168"/>
      <c r="I111" s="28"/>
      <c r="J111" s="4"/>
    </row>
    <row r="112" spans="1:10" hidden="1" x14ac:dyDescent="0.25">
      <c r="A112" s="17" t="s">
        <v>298</v>
      </c>
      <c r="B112" s="98">
        <v>0</v>
      </c>
      <c r="C112" s="6"/>
      <c r="D112" s="6"/>
      <c r="E112" s="28"/>
      <c r="F112" s="254"/>
      <c r="G112" s="57"/>
      <c r="H112" s="168"/>
      <c r="I112" s="28"/>
      <c r="J112" s="4"/>
    </row>
    <row r="113" spans="1:10" hidden="1" x14ac:dyDescent="0.25">
      <c r="A113" s="17" t="s">
        <v>299</v>
      </c>
      <c r="B113" s="98">
        <v>0</v>
      </c>
      <c r="C113" s="6"/>
      <c r="D113" s="6"/>
      <c r="E113" s="28"/>
      <c r="F113" s="254"/>
      <c r="G113" s="57"/>
      <c r="H113" s="168"/>
      <c r="I113" s="28"/>
      <c r="J113" s="4"/>
    </row>
    <row r="114" spans="1:10" hidden="1" x14ac:dyDescent="0.25">
      <c r="A114" s="17" t="s">
        <v>300</v>
      </c>
      <c r="B114" s="98">
        <v>0</v>
      </c>
      <c r="C114" s="6"/>
      <c r="D114" s="6"/>
      <c r="E114" s="28"/>
      <c r="F114" s="254"/>
      <c r="G114" s="57"/>
      <c r="H114" s="168"/>
      <c r="I114" s="28"/>
      <c r="J114" s="4"/>
    </row>
    <row r="115" spans="1:10" x14ac:dyDescent="0.25">
      <c r="A115" s="103"/>
      <c r="B115" s="204"/>
      <c r="C115" s="213"/>
      <c r="D115" s="213"/>
      <c r="E115" s="213"/>
      <c r="F115" s="57"/>
      <c r="G115" s="57"/>
      <c r="H115" s="28"/>
      <c r="I115" s="28"/>
      <c r="J115" s="4"/>
    </row>
    <row r="116" spans="1:10" x14ac:dyDescent="0.25">
      <c r="A116" s="4" t="s">
        <v>235</v>
      </c>
      <c r="C116" s="28"/>
      <c r="D116" s="28"/>
      <c r="E116" s="28"/>
      <c r="F116" s="57"/>
      <c r="G116" s="57"/>
      <c r="H116" s="28"/>
      <c r="I116" s="28"/>
      <c r="J116" s="4"/>
    </row>
    <row r="117" spans="1:10" x14ac:dyDescent="0.25">
      <c r="A117" s="17" t="s">
        <v>803</v>
      </c>
      <c r="C117" s="28"/>
      <c r="D117" s="28"/>
      <c r="E117" s="28"/>
      <c r="F117" s="57"/>
      <c r="G117" s="57"/>
      <c r="H117" s="28"/>
      <c r="I117" s="28"/>
      <c r="J117" s="4"/>
    </row>
    <row r="118" spans="1:10" x14ac:dyDescent="0.25">
      <c r="A118" s="17" t="s">
        <v>795</v>
      </c>
      <c r="C118" s="28"/>
      <c r="D118" s="28"/>
      <c r="E118" s="28"/>
      <c r="F118" s="57"/>
      <c r="G118" s="57"/>
      <c r="H118" s="28"/>
      <c r="I118" s="28"/>
      <c r="J118" s="4"/>
    </row>
    <row r="119" spans="1:10" x14ac:dyDescent="0.25">
      <c r="A119" s="4"/>
      <c r="C119" s="28"/>
      <c r="D119" s="28"/>
      <c r="E119" s="28"/>
      <c r="F119" s="57"/>
      <c r="G119" s="57"/>
      <c r="H119" s="28"/>
      <c r="I119" s="28"/>
      <c r="J119" s="4"/>
    </row>
    <row r="120" spans="1:10" x14ac:dyDescent="0.25">
      <c r="A120" s="4"/>
      <c r="C120" s="28"/>
      <c r="D120" s="28"/>
      <c r="E120" s="28"/>
      <c r="F120" s="57"/>
      <c r="G120" s="57"/>
      <c r="H120" s="28"/>
      <c r="I120" s="28"/>
      <c r="J120" s="4"/>
    </row>
    <row r="121" spans="1:10" x14ac:dyDescent="0.25">
      <c r="A121" s="4"/>
      <c r="C121" s="28"/>
      <c r="D121" s="28"/>
      <c r="E121" s="28"/>
      <c r="F121" s="57"/>
      <c r="G121" s="57"/>
      <c r="H121" s="28"/>
      <c r="I121" s="28"/>
      <c r="J121" s="4"/>
    </row>
    <row r="122" spans="1:10" x14ac:dyDescent="0.25">
      <c r="A122" s="4"/>
      <c r="C122" s="28"/>
      <c r="D122" s="28"/>
      <c r="E122" s="28"/>
      <c r="F122" s="57"/>
      <c r="G122" s="57"/>
      <c r="H122" s="28"/>
      <c r="I122" s="28"/>
      <c r="J122" s="4"/>
    </row>
    <row r="123" spans="1:10" x14ac:dyDescent="0.25">
      <c r="A123" s="4"/>
      <c r="C123" s="28"/>
      <c r="D123" s="28"/>
      <c r="E123" s="28"/>
      <c r="F123" s="57"/>
      <c r="G123" s="57"/>
      <c r="H123" s="28"/>
      <c r="I123" s="28"/>
      <c r="J123" s="4"/>
    </row>
    <row r="124" spans="1:10" x14ac:dyDescent="0.25">
      <c r="A124" s="4"/>
      <c r="C124" s="28"/>
      <c r="D124" s="28"/>
      <c r="E124" s="28"/>
      <c r="F124" s="57"/>
      <c r="G124" s="57"/>
      <c r="H124" s="28"/>
      <c r="I124" s="28"/>
      <c r="J124" s="4"/>
    </row>
    <row r="125" spans="1:10" x14ac:dyDescent="0.25">
      <c r="A125" s="4"/>
      <c r="C125" s="28"/>
      <c r="D125" s="28"/>
      <c r="E125" s="28"/>
      <c r="F125" s="57"/>
      <c r="G125" s="57"/>
      <c r="H125" s="28"/>
      <c r="I125" s="28"/>
      <c r="J125" s="4"/>
    </row>
  </sheetData>
  <phoneticPr fontId="5" type="noConversion"/>
  <printOptions horizontalCentered="1"/>
  <pageMargins left="0.75" right="0.75" top="1" bottom="1" header="0.5" footer="0.5"/>
  <pageSetup fitToHeight="3" orientation="landscape" r:id="rId1"/>
  <headerFooter alignWithMargins="0">
    <oddFooter>&amp;L&amp;F</oddFooter>
  </headerFooter>
  <rowBreaks count="2" manualBreakCount="2">
    <brk id="36" max="8" man="1"/>
    <brk id="62" max="8"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pageSetUpPr fitToPage="1"/>
  </sheetPr>
  <dimension ref="A1:K34"/>
  <sheetViews>
    <sheetView zoomScale="70" workbookViewId="0"/>
  </sheetViews>
  <sheetFormatPr defaultColWidth="9.08984375" defaultRowHeight="12.5" x14ac:dyDescent="0.25"/>
  <cols>
    <col min="1" max="1" width="25.6328125" style="4" customWidth="1"/>
    <col min="2" max="2" width="9.36328125" style="4" customWidth="1"/>
    <col min="3" max="3" width="2.6328125" style="4" customWidth="1"/>
    <col min="4" max="4" width="8.6328125" style="4" customWidth="1"/>
    <col min="5" max="5" width="2.6328125" style="4" customWidth="1"/>
    <col min="6" max="6" width="9.36328125" style="4" customWidth="1"/>
    <col min="7" max="7" width="2.6328125" style="4" customWidth="1"/>
    <col min="8" max="8" width="7.453125" style="4" customWidth="1"/>
    <col min="9" max="9" width="3.36328125" style="4" customWidth="1"/>
    <col min="10" max="10" width="9.36328125" style="4" customWidth="1"/>
    <col min="11" max="11" width="7.453125" style="4" customWidth="1"/>
    <col min="12" max="16384" width="9.08984375" style="4"/>
  </cols>
  <sheetData>
    <row r="1" spans="1:11" ht="15.5" x14ac:dyDescent="0.35">
      <c r="A1" s="117" t="s">
        <v>562</v>
      </c>
      <c r="B1" s="1"/>
      <c r="C1" s="1"/>
      <c r="D1" s="1"/>
      <c r="E1" s="1"/>
    </row>
    <row r="2" spans="1:11" ht="15.5" x14ac:dyDescent="0.35">
      <c r="A2" s="117" t="s">
        <v>787</v>
      </c>
      <c r="B2" s="1"/>
      <c r="C2" s="1"/>
      <c r="D2" s="1"/>
      <c r="E2" s="1"/>
      <c r="H2" s="20"/>
    </row>
    <row r="3" spans="1:11" ht="39.9" customHeight="1" x14ac:dyDescent="0.25">
      <c r="B3" s="119" t="s">
        <v>216</v>
      </c>
      <c r="C3" s="119"/>
      <c r="D3" s="119" t="s">
        <v>257</v>
      </c>
      <c r="E3" s="119"/>
      <c r="F3" s="119" t="s">
        <v>478</v>
      </c>
      <c r="G3" s="119"/>
      <c r="H3" s="119" t="s">
        <v>271</v>
      </c>
      <c r="J3" s="119" t="s">
        <v>273</v>
      </c>
      <c r="K3" s="119" t="s">
        <v>272</v>
      </c>
    </row>
    <row r="4" spans="1:11" x14ac:dyDescent="0.25">
      <c r="A4" s="17" t="s">
        <v>784</v>
      </c>
    </row>
    <row r="5" spans="1:11" x14ac:dyDescent="0.25">
      <c r="A5" s="4" t="s">
        <v>212</v>
      </c>
      <c r="B5" s="30">
        <v>0</v>
      </c>
      <c r="C5" s="205"/>
      <c r="F5" s="30">
        <v>0</v>
      </c>
      <c r="G5" s="205"/>
      <c r="H5" s="121">
        <v>0</v>
      </c>
    </row>
    <row r="6" spans="1:11" x14ac:dyDescent="0.25">
      <c r="A6" s="17" t="s">
        <v>262</v>
      </c>
      <c r="B6" s="30">
        <v>0</v>
      </c>
      <c r="C6" s="205"/>
    </row>
    <row r="7" spans="1:11" x14ac:dyDescent="0.25">
      <c r="A7" s="17" t="s">
        <v>263</v>
      </c>
      <c r="B7" s="24">
        <f>B6*D7</f>
        <v>0</v>
      </c>
      <c r="C7" s="24"/>
      <c r="D7" s="122"/>
      <c r="E7" s="221"/>
    </row>
    <row r="8" spans="1:11" x14ac:dyDescent="0.25">
      <c r="A8" s="17" t="s">
        <v>213</v>
      </c>
      <c r="B8" s="24">
        <f>B5-B7</f>
        <v>0</v>
      </c>
      <c r="C8" s="24"/>
    </row>
    <row r="9" spans="1:11" x14ac:dyDescent="0.25">
      <c r="A9" s="17" t="s">
        <v>214</v>
      </c>
      <c r="B9" s="24">
        <f>B8*D9</f>
        <v>0</v>
      </c>
      <c r="C9" s="24"/>
      <c r="D9" s="122"/>
      <c r="E9" s="221"/>
    </row>
    <row r="10" spans="1:11" x14ac:dyDescent="0.25">
      <c r="A10" s="17" t="s">
        <v>215</v>
      </c>
      <c r="B10" s="24">
        <f>B8-B9</f>
        <v>0</v>
      </c>
      <c r="C10" s="24"/>
      <c r="H10" s="121"/>
    </row>
    <row r="11" spans="1:11" x14ac:dyDescent="0.25">
      <c r="A11" s="17" t="s">
        <v>785</v>
      </c>
      <c r="B11" s="24">
        <v>0</v>
      </c>
      <c r="C11" s="205"/>
      <c r="H11" s="121">
        <v>0</v>
      </c>
      <c r="I11" s="221"/>
      <c r="J11" s="244">
        <v>0.9952967509530305</v>
      </c>
      <c r="K11" s="121">
        <f>H11/J11</f>
        <v>0</v>
      </c>
    </row>
    <row r="12" spans="1:11" x14ac:dyDescent="0.25">
      <c r="A12" s="17" t="s">
        <v>786</v>
      </c>
      <c r="B12" s="24">
        <f>B10-B11</f>
        <v>0</v>
      </c>
      <c r="C12" s="24"/>
      <c r="H12" s="121">
        <v>0</v>
      </c>
      <c r="I12" s="221"/>
      <c r="J12" s="244">
        <v>0.9952967509530305</v>
      </c>
      <c r="K12" s="121">
        <f>H12/J12</f>
        <v>0</v>
      </c>
    </row>
    <row r="13" spans="1:11" ht="8.15" customHeight="1" x14ac:dyDescent="0.25">
      <c r="A13" s="17"/>
      <c r="B13" s="24"/>
      <c r="C13" s="24"/>
      <c r="H13" s="121"/>
    </row>
    <row r="14" spans="1:11" ht="8.15" customHeight="1" x14ac:dyDescent="0.25">
      <c r="A14" s="17"/>
      <c r="B14" s="24"/>
      <c r="C14" s="24"/>
      <c r="H14" s="121"/>
    </row>
    <row r="15" spans="1:11" ht="8.15" customHeight="1" x14ac:dyDescent="0.25"/>
    <row r="16" spans="1:11" x14ac:dyDescent="0.25">
      <c r="A16" s="17" t="s">
        <v>227</v>
      </c>
    </row>
    <row r="17" spans="1:11" x14ac:dyDescent="0.25">
      <c r="A17" s="4" t="s">
        <v>212</v>
      </c>
      <c r="B17" s="30">
        <v>352828.13099999999</v>
      </c>
      <c r="C17" s="205" t="s">
        <v>236</v>
      </c>
      <c r="F17" s="30">
        <v>2973.7303999999999</v>
      </c>
      <c r="G17" s="205" t="s">
        <v>236</v>
      </c>
      <c r="H17" s="121">
        <f>B17/F17</f>
        <v>118.6483250129198</v>
      </c>
    </row>
    <row r="18" spans="1:11" x14ac:dyDescent="0.25">
      <c r="A18" s="17" t="s">
        <v>262</v>
      </c>
      <c r="B18" s="30">
        <v>43033.922558284707</v>
      </c>
      <c r="C18" s="205" t="s">
        <v>236</v>
      </c>
    </row>
    <row r="19" spans="1:11" x14ac:dyDescent="0.25">
      <c r="A19" s="17" t="s">
        <v>263</v>
      </c>
      <c r="B19" s="24">
        <f>B18*D19</f>
        <v>633.8812567492447</v>
      </c>
      <c r="C19" s="24"/>
      <c r="D19" s="122">
        <v>1.4729804281511228E-2</v>
      </c>
      <c r="E19" s="221" t="s">
        <v>239</v>
      </c>
    </row>
    <row r="20" spans="1:11" x14ac:dyDescent="0.25">
      <c r="A20" s="17" t="s">
        <v>213</v>
      </c>
      <c r="B20" s="24">
        <f>B17-B19</f>
        <v>352194.24974325072</v>
      </c>
      <c r="C20" s="24"/>
    </row>
    <row r="21" spans="1:11" x14ac:dyDescent="0.25">
      <c r="A21" s="17" t="s">
        <v>214</v>
      </c>
      <c r="B21" s="24">
        <f>B20*D21</f>
        <v>3904.6605322048295</v>
      </c>
      <c r="C21" s="24"/>
      <c r="D21" s="122">
        <v>1.1086667471292683E-2</v>
      </c>
      <c r="E21" s="221" t="s">
        <v>240</v>
      </c>
    </row>
    <row r="22" spans="1:11" x14ac:dyDescent="0.25">
      <c r="A22" s="17" t="s">
        <v>215</v>
      </c>
      <c r="B22" s="24">
        <f>B20-B21</f>
        <v>348289.58921104588</v>
      </c>
      <c r="C22" s="24"/>
      <c r="H22" s="121"/>
    </row>
    <row r="23" spans="1:11" x14ac:dyDescent="0.25">
      <c r="A23" s="17" t="s">
        <v>785</v>
      </c>
      <c r="B23" s="24">
        <v>142789.06047166753</v>
      </c>
      <c r="C23" s="205" t="s">
        <v>238</v>
      </c>
      <c r="H23" s="121">
        <f>H24/2</f>
        <v>106.57787103941583</v>
      </c>
      <c r="I23" s="221" t="s">
        <v>241</v>
      </c>
      <c r="J23" s="244">
        <v>0.9952967509530305</v>
      </c>
      <c r="K23" s="121">
        <f>H23/J23</f>
        <v>107.08150201170042</v>
      </c>
    </row>
    <row r="24" spans="1:11" x14ac:dyDescent="0.25">
      <c r="A24" s="17" t="s">
        <v>786</v>
      </c>
      <c r="B24" s="24">
        <f>B22-B23</f>
        <v>205500.52873937835</v>
      </c>
      <c r="C24" s="24"/>
      <c r="H24" s="121">
        <f>(3*B23+B24)/F17</f>
        <v>213.15574207883165</v>
      </c>
      <c r="I24" s="221" t="s">
        <v>242</v>
      </c>
      <c r="J24" s="244">
        <v>0.9952967509530305</v>
      </c>
      <c r="K24" s="121">
        <f>H24/J24</f>
        <v>214.16300402340084</v>
      </c>
    </row>
    <row r="25" spans="1:11" x14ac:dyDescent="0.25">
      <c r="A25" s="103"/>
      <c r="B25" s="103"/>
      <c r="C25" s="103"/>
      <c r="D25" s="103"/>
      <c r="E25" s="103"/>
    </row>
    <row r="26" spans="1:11" x14ac:dyDescent="0.25">
      <c r="A26" s="2" t="s">
        <v>235</v>
      </c>
    </row>
    <row r="27" spans="1:11" x14ac:dyDescent="0.25">
      <c r="A27" s="17" t="s">
        <v>804</v>
      </c>
    </row>
    <row r="28" spans="1:11" x14ac:dyDescent="0.25">
      <c r="A28" s="17" t="s">
        <v>805</v>
      </c>
    </row>
    <row r="29" spans="1:11" ht="24.9" customHeight="1" x14ac:dyDescent="0.25">
      <c r="A29" s="425" t="s">
        <v>806</v>
      </c>
      <c r="B29" s="426"/>
      <c r="C29" s="426"/>
      <c r="D29" s="426"/>
      <c r="E29" s="426"/>
      <c r="F29" s="426"/>
    </row>
    <row r="30" spans="1:11" ht="24.9" customHeight="1" x14ac:dyDescent="0.25">
      <c r="A30" s="425" t="s">
        <v>807</v>
      </c>
      <c r="B30" s="426"/>
      <c r="C30" s="426"/>
      <c r="D30" s="426"/>
      <c r="E30" s="426"/>
      <c r="F30" s="426"/>
    </row>
    <row r="31" spans="1:11" ht="24.9" customHeight="1" x14ac:dyDescent="0.25">
      <c r="A31" s="425" t="s">
        <v>264</v>
      </c>
      <c r="B31" s="426"/>
      <c r="C31" s="426"/>
      <c r="D31" s="426"/>
      <c r="E31" s="426"/>
      <c r="F31" s="426"/>
    </row>
    <row r="32" spans="1:11" ht="24.9" customHeight="1" x14ac:dyDescent="0.25">
      <c r="A32" s="425" t="s">
        <v>265</v>
      </c>
      <c r="B32" s="426"/>
      <c r="C32" s="426"/>
      <c r="D32" s="426"/>
      <c r="E32" s="426"/>
      <c r="F32" s="426"/>
    </row>
    <row r="33" spans="1:1" x14ac:dyDescent="0.25">
      <c r="A33" s="11" t="s">
        <v>0</v>
      </c>
    </row>
    <row r="34" spans="1:1" x14ac:dyDescent="0.25">
      <c r="A34" s="11" t="s">
        <v>1</v>
      </c>
    </row>
  </sheetData>
  <mergeCells count="4">
    <mergeCell ref="A29:F29"/>
    <mergeCell ref="A30:F30"/>
    <mergeCell ref="A31:F31"/>
    <mergeCell ref="A32:F32"/>
  </mergeCells>
  <phoneticPr fontId="0" type="noConversion"/>
  <printOptions horizontalCentered="1"/>
  <pageMargins left="0.75" right="0.75" top="1" bottom="1" header="0.5" footer="0.5"/>
  <pageSetup orientation="landscape" r:id="rId1"/>
  <headerFooter alignWithMargins="0">
    <oddFooter>&amp;L&amp;F</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1">
    <pageSetUpPr fitToPage="1"/>
  </sheetPr>
  <dimension ref="A1:K22"/>
  <sheetViews>
    <sheetView zoomScale="70" workbookViewId="0"/>
  </sheetViews>
  <sheetFormatPr defaultRowHeight="12.5" x14ac:dyDescent="0.25"/>
  <cols>
    <col min="1" max="1" width="12.453125" customWidth="1"/>
    <col min="2" max="2" width="15.90625" customWidth="1"/>
    <col min="3" max="5" width="11.6328125" customWidth="1"/>
    <col min="6" max="6" width="3.6328125" customWidth="1"/>
    <col min="7" max="7" width="11.6328125" customWidth="1"/>
    <col min="8" max="8" width="3.6328125" customWidth="1"/>
    <col min="9" max="10" width="11.6328125" customWidth="1"/>
  </cols>
  <sheetData>
    <row r="1" spans="1:11" ht="15.5" x14ac:dyDescent="0.35">
      <c r="A1" s="335" t="s">
        <v>54</v>
      </c>
      <c r="B1" s="117"/>
    </row>
    <row r="2" spans="1:11" ht="15.5" x14ac:dyDescent="0.35">
      <c r="A2" s="117" t="s">
        <v>787</v>
      </c>
      <c r="B2" s="335"/>
    </row>
    <row r="3" spans="1:11" ht="25" x14ac:dyDescent="0.25">
      <c r="A3" s="337" t="s">
        <v>399</v>
      </c>
      <c r="B3" s="336" t="s">
        <v>348</v>
      </c>
      <c r="C3" s="125" t="s">
        <v>250</v>
      </c>
      <c r="D3" s="138" t="s">
        <v>249</v>
      </c>
      <c r="E3" s="8" t="s">
        <v>104</v>
      </c>
      <c r="F3" s="8"/>
      <c r="G3" s="142" t="s">
        <v>246</v>
      </c>
      <c r="H3" s="65"/>
      <c r="I3" s="119" t="s">
        <v>218</v>
      </c>
      <c r="J3" s="31" t="s">
        <v>133</v>
      </c>
      <c r="K3" s="4"/>
    </row>
    <row r="4" spans="1:11" x14ac:dyDescent="0.25">
      <c r="A4" s="11" t="s">
        <v>2</v>
      </c>
      <c r="B4" t="s">
        <v>278</v>
      </c>
      <c r="C4" s="6">
        <f>SUM('Table 3.24-CIOSS Detail'!E4,'Table 3.24-CIOSS Detail'!E19)</f>
        <v>405291.95868318185</v>
      </c>
      <c r="D4" s="32">
        <f>SUM('Table 3.24-CIOSS Detail'!F4,'Table 3.24-CIOSS Detail'!F19)</f>
        <v>10378.841691058011</v>
      </c>
      <c r="E4" s="61">
        <f>IF(ISERROR(D4/C4),"n/a",D4/C4)</f>
        <v>2.5608308945431577E-2</v>
      </c>
      <c r="G4" s="23">
        <v>2.5345894967037381</v>
      </c>
      <c r="I4" s="32">
        <f>D4*G4</f>
        <v>26306.103138106497</v>
      </c>
      <c r="J4" s="61">
        <f>IF(ISERROR(I4/C4),"n/a",I4/C4)</f>
        <v>6.4906550881435252E-2</v>
      </c>
    </row>
    <row r="5" spans="1:11" x14ac:dyDescent="0.25">
      <c r="B5" s="11" t="s">
        <v>431</v>
      </c>
      <c r="C5" s="6">
        <f>SUM('Table 3.24-CIOSS Detail'!E5,'Table 3.24-CIOSS Detail'!E12,'Table 3.24-CIOSS Detail'!E20,'Table 3.24-CIOSS Detail'!E27,'Table 3.24-CIOSS Detail'!E34)</f>
        <v>1075640.2510587939</v>
      </c>
      <c r="D5" s="32">
        <f>SUM('Table 3.24-CIOSS Detail'!F5,'Table 3.24-CIOSS Detail'!F12,'Table 3.24-CIOSS Detail'!F20,'Table 3.24-CIOSS Detail'!F27,'Table 3.24-CIOSS Detail'!F34)</f>
        <v>-4274.4032768018005</v>
      </c>
      <c r="E5" s="61">
        <f>IF(ISERROR(D5/C5),"n/a",D5/C5)</f>
        <v>-3.9738223561217069E-3</v>
      </c>
      <c r="G5" s="23">
        <v>2.5345894967037381</v>
      </c>
      <c r="I5" s="32">
        <f>D5*G5</f>
        <v>-10833.857650057884</v>
      </c>
      <c r="J5" s="61">
        <f>IF(ISERROR(I5/C5),"n/a",I5/C5)</f>
        <v>-1.0072008405592579E-2</v>
      </c>
    </row>
    <row r="6" spans="1:11" x14ac:dyDescent="0.25">
      <c r="B6" t="s">
        <v>279</v>
      </c>
      <c r="C6" s="6">
        <f>SUM('Table 3.24-CIOSS Detail'!E6,'Table 3.24-CIOSS Detail'!E13,'Table 3.24-CIOSS Detail'!E21,'Table 3.24-CIOSS Detail'!E28)</f>
        <v>475536.31137434451</v>
      </c>
      <c r="D6" s="32">
        <f>SUM('Table 3.24-CIOSS Detail'!F6,'Table 3.24-CIOSS Detail'!F13,'Table 3.24-CIOSS Detail'!F21,'Table 3.24-CIOSS Detail'!F28)</f>
        <v>12326.851854613522</v>
      </c>
      <c r="E6" s="61">
        <f>IF(ISERROR(D6/C6),"n/a",D6/C6)</f>
        <v>2.5921999140271254E-2</v>
      </c>
      <c r="G6" s="23">
        <v>2.5345894967037381</v>
      </c>
      <c r="I6" s="32">
        <f>D6*G6</f>
        <v>31243.509238126426</v>
      </c>
      <c r="J6" s="61">
        <f>IF(ISERROR(I6/C6),"n/a",I6/C6)</f>
        <v>6.5701626754494841E-2</v>
      </c>
    </row>
    <row r="7" spans="1:11" x14ac:dyDescent="0.25">
      <c r="C7" s="6"/>
      <c r="D7" s="32"/>
    </row>
    <row r="8" spans="1:11" x14ac:dyDescent="0.25">
      <c r="A8" s="11" t="s">
        <v>3</v>
      </c>
      <c r="B8" t="s">
        <v>278</v>
      </c>
      <c r="C8" s="6">
        <f>SUM('Table 3.24-CIOSS Detail'!E8,'Table 3.24-CIOSS Detail'!E23)</f>
        <v>84252.736316818075</v>
      </c>
      <c r="D8" s="32">
        <f>SUM('Table 3.24-CIOSS Detail'!F8,'Table 3.24-CIOSS Detail'!F23)</f>
        <v>2157.5701010990601</v>
      </c>
      <c r="E8" s="61">
        <f>IF(ISERROR(D8/C8),"n/a",D8/C8)</f>
        <v>2.5608308945431577E-2</v>
      </c>
      <c r="G8" s="23">
        <v>2.5345894967037381</v>
      </c>
      <c r="I8" s="32">
        <f>D8*G8</f>
        <v>5468.5545166477004</v>
      </c>
      <c r="J8" s="61">
        <f>IF(ISERROR(I8/C8),"n/a",I8/C8)</f>
        <v>6.4906550881435252E-2</v>
      </c>
    </row>
    <row r="9" spans="1:11" x14ac:dyDescent="0.25">
      <c r="B9" s="11" t="s">
        <v>373</v>
      </c>
      <c r="C9" s="6">
        <f>SUM('Table 3.24-CIOSS Detail'!E9,'Table 3.24-CIOSS Detail'!E24)</f>
        <v>4713.7279687683294</v>
      </c>
      <c r="D9" s="32">
        <f>SUM('Table 3.24-CIOSS Detail'!F9,'Table 3.24-CIOSS Detail'!F24)</f>
        <v>120.71060210894105</v>
      </c>
      <c r="E9" s="61">
        <f>IF(ISERROR(D9/C9),"n/a",D9/C9)</f>
        <v>2.560830894543158E-2</v>
      </c>
      <c r="G9" s="23">
        <v>2.5345894967037381</v>
      </c>
      <c r="I9" s="32">
        <f>D9*G9</f>
        <v>305.95182424610607</v>
      </c>
      <c r="J9" s="61">
        <f>IF(ISERROR(I9/C9),"n/a",I9/C9)</f>
        <v>6.4906550881435265E-2</v>
      </c>
    </row>
    <row r="10" spans="1:11" x14ac:dyDescent="0.25">
      <c r="B10" t="s">
        <v>279</v>
      </c>
      <c r="C10" s="6">
        <f>SUM('Table 3.24-CIOSS Detail'!E10,'Table 3.24-CIOSS Detail'!E25)</f>
        <v>107983.78571441359</v>
      </c>
      <c r="D10" s="32">
        <f>SUM('Table 3.24-CIOSS Detail'!F10,'Table 3.24-CIOSS Detail'!F25)</f>
        <v>2765.2821456719839</v>
      </c>
      <c r="E10" s="61">
        <f>IF(ISERROR(D10/C10),"n/a",D10/C10)</f>
        <v>2.5608308945431577E-2</v>
      </c>
      <c r="G10" s="23">
        <v>2.5345894967037381</v>
      </c>
      <c r="I10" s="32">
        <f>D10*G10</f>
        <v>7008.8550818425865</v>
      </c>
      <c r="J10" s="61">
        <f>IF(ISERROR(I10/C10),"n/a",I10/C10)</f>
        <v>6.4906550881435252E-2</v>
      </c>
    </row>
    <row r="11" spans="1:11" x14ac:dyDescent="0.25">
      <c r="C11" s="6"/>
      <c r="D11" s="32"/>
    </row>
    <row r="12" spans="1:11" x14ac:dyDescent="0.25">
      <c r="A12" s="11" t="s">
        <v>4</v>
      </c>
      <c r="B12" s="11" t="s">
        <v>373</v>
      </c>
      <c r="C12" s="6">
        <f>SUM('Table 3.24-CIOSS Detail'!E15,'Table 3.24-CIOSS Detail'!E30,'Table 3.24-CIOSS Detail'!E36)</f>
        <v>102268.50597243779</v>
      </c>
      <c r="D12" s="32">
        <f>SUM('Table 3.24-CIOSS Detail'!F15,'Table 3.24-CIOSS Detail'!F30,'Table 3.24-CIOSS Detail'!F36)</f>
        <v>1404.1208496402089</v>
      </c>
      <c r="E12" s="61">
        <f>IF(ISERROR(D12/C12),"n/a",D12/C12)</f>
        <v>1.3729748335412576E-2</v>
      </c>
      <c r="G12" s="23">
        <v>2.5345894967037381</v>
      </c>
      <c r="I12" s="32">
        <f>D12*G12</f>
        <v>3558.8699576008021</v>
      </c>
      <c r="J12" s="61">
        <f>IF(ISERROR(I12/C12),"n/a",I12/C12)</f>
        <v>3.4799275923322347E-2</v>
      </c>
    </row>
    <row r="13" spans="1:11" x14ac:dyDescent="0.25">
      <c r="A13" s="204"/>
      <c r="B13" s="238" t="s">
        <v>279</v>
      </c>
      <c r="C13" s="10">
        <f>SUM('Table 3.24-CIOSS Detail'!E16,'Table 3.24-CIOSS Detail'!E31,'Table 3.24-CIOSS Detail'!E37)</f>
        <v>296178.09691124177</v>
      </c>
      <c r="D13" s="131">
        <f>SUM('Table 3.24-CIOSS Detail'!F16,'Table 3.24-CIOSS Detail'!F31,'Table 3.24-CIOSS Detail'!F37)</f>
        <v>4180.5691343101807</v>
      </c>
      <c r="E13" s="129">
        <f>IF(ISERROR(D13/C13),"n/a",D13/C13)</f>
        <v>1.4115051645979777E-2</v>
      </c>
      <c r="F13" s="204"/>
      <c r="G13" s="338">
        <v>2.5345894967037381</v>
      </c>
      <c r="H13" s="204"/>
      <c r="I13" s="131">
        <f>D13*G13</f>
        <v>10596.026618066424</v>
      </c>
      <c r="J13" s="129">
        <f>IF(ISERROR(I13/C13),"n/a",I13/C13)</f>
        <v>3.5775861647331153E-2</v>
      </c>
    </row>
    <row r="14" spans="1:11" x14ac:dyDescent="0.25">
      <c r="B14" s="13" t="s">
        <v>102</v>
      </c>
      <c r="C14" s="6">
        <f>SUM(C4:C13)</f>
        <v>2551865.3739999994</v>
      </c>
      <c r="D14" s="32">
        <f>SUM(D4:D13)</f>
        <v>29059.54310170011</v>
      </c>
      <c r="E14" s="61">
        <f>IF(ISERROR(D14/C14),"n/a",D14/C14)</f>
        <v>1.1387569030003273E-2</v>
      </c>
      <c r="I14" s="32">
        <f>SUM(I4:I13)</f>
        <v>73654.012724578657</v>
      </c>
      <c r="J14" s="61">
        <f>IF(ISERROR(I14/C14),"n/a",I14/C14)</f>
        <v>2.8862812856435063E-2</v>
      </c>
    </row>
    <row r="15" spans="1:11" hidden="1" x14ac:dyDescent="0.25">
      <c r="B15" s="13"/>
      <c r="C15" s="6"/>
      <c r="D15" s="32"/>
      <c r="E15" s="61"/>
      <c r="I15" s="32"/>
      <c r="J15" s="61"/>
    </row>
    <row r="16" spans="1:11" hidden="1" x14ac:dyDescent="0.25">
      <c r="B16" s="13" t="s">
        <v>191</v>
      </c>
      <c r="C16" s="105">
        <f>C14-'Table 3.24-CIOSS Detail'!E40</f>
        <v>0</v>
      </c>
      <c r="D16" s="105">
        <f>D14-'Table 3.24-CIOSS Detail'!F40</f>
        <v>0</v>
      </c>
      <c r="E16" s="61"/>
      <c r="H16" s="13" t="s">
        <v>191</v>
      </c>
      <c r="I16" s="105">
        <f>I14-'Table 3.24-CIOSS Detail'!K40</f>
        <v>0</v>
      </c>
      <c r="J16" s="105">
        <f>J14-'Table 3.24-CIOSS Detail'!L40</f>
        <v>0</v>
      </c>
    </row>
    <row r="17" spans="1:10" x14ac:dyDescent="0.25">
      <c r="A17" s="204"/>
      <c r="B17" s="213"/>
      <c r="C17" s="6"/>
      <c r="D17" s="32"/>
      <c r="E17" s="61"/>
      <c r="I17" s="32"/>
      <c r="J17" s="61"/>
    </row>
    <row r="18" spans="1:10" x14ac:dyDescent="0.25">
      <c r="A18" s="4" t="s">
        <v>235</v>
      </c>
      <c r="B18" s="28"/>
      <c r="C18" s="28"/>
    </row>
    <row r="19" spans="1:10" x14ac:dyDescent="0.25">
      <c r="A19" s="17" t="s">
        <v>654</v>
      </c>
      <c r="B19" s="28"/>
      <c r="C19" s="28"/>
    </row>
    <row r="20" spans="1:10" x14ac:dyDescent="0.25">
      <c r="A20" s="17" t="s">
        <v>795</v>
      </c>
    </row>
    <row r="21" spans="1:10" x14ac:dyDescent="0.25">
      <c r="A21" s="11" t="s">
        <v>21</v>
      </c>
    </row>
    <row r="22" spans="1:10" x14ac:dyDescent="0.25">
      <c r="A22" s="11" t="s">
        <v>5</v>
      </c>
    </row>
  </sheetData>
  <phoneticPr fontId="5" type="noConversion"/>
  <printOptions horizontalCentered="1"/>
  <pageMargins left="0.75" right="0.75" top="1" bottom="1" header="0.5" footer="0.5"/>
  <pageSetup orientation="landscape" r:id="rId1"/>
  <headerFooter alignWithMargins="0">
    <oddFooter>&amp;L&amp;F</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2">
    <pageSetUpPr fitToPage="1"/>
  </sheetPr>
  <dimension ref="A1:M57"/>
  <sheetViews>
    <sheetView zoomScale="70" workbookViewId="0"/>
  </sheetViews>
  <sheetFormatPr defaultRowHeight="12.5" x14ac:dyDescent="0.25"/>
  <cols>
    <col min="1" max="1" width="27.08984375" customWidth="1"/>
    <col min="2" max="2" width="9.6328125" customWidth="1"/>
    <col min="3" max="3" width="25.6328125" customWidth="1"/>
    <col min="4" max="4" width="15.90625" customWidth="1"/>
    <col min="5" max="7" width="11.6328125" customWidth="1"/>
    <col min="8" max="8" width="3.6328125" customWidth="1"/>
    <col min="9" max="9" width="11.6328125" customWidth="1"/>
    <col min="10" max="10" width="3.6328125" customWidth="1"/>
    <col min="11" max="12" width="11.6328125" customWidth="1"/>
  </cols>
  <sheetData>
    <row r="1" spans="1:13" ht="15.5" x14ac:dyDescent="0.35">
      <c r="A1" s="117" t="s">
        <v>563</v>
      </c>
      <c r="B1" s="117"/>
      <c r="C1" s="117"/>
      <c r="D1" s="117"/>
    </row>
    <row r="2" spans="1:13" ht="15.5" x14ac:dyDescent="0.35">
      <c r="A2" s="117" t="s">
        <v>787</v>
      </c>
      <c r="B2" s="335"/>
      <c r="C2" s="335"/>
      <c r="D2" s="335"/>
    </row>
    <row r="3" spans="1:13" ht="25" x14ac:dyDescent="0.25">
      <c r="A3" s="336" t="s">
        <v>396</v>
      </c>
      <c r="B3" s="337" t="s">
        <v>399</v>
      </c>
      <c r="C3" s="336" t="s">
        <v>397</v>
      </c>
      <c r="D3" s="336" t="s">
        <v>348</v>
      </c>
      <c r="E3" s="125" t="s">
        <v>402</v>
      </c>
      <c r="F3" s="138" t="s">
        <v>403</v>
      </c>
      <c r="G3" s="8" t="s">
        <v>104</v>
      </c>
      <c r="H3" s="8"/>
      <c r="I3" s="142" t="s">
        <v>404</v>
      </c>
      <c r="J3" s="65"/>
      <c r="K3" s="119" t="s">
        <v>218</v>
      </c>
      <c r="L3" s="31" t="s">
        <v>133</v>
      </c>
      <c r="M3" s="4"/>
    </row>
    <row r="4" spans="1:13" x14ac:dyDescent="0.25">
      <c r="A4" s="17" t="s">
        <v>410</v>
      </c>
      <c r="B4" t="s">
        <v>407</v>
      </c>
      <c r="C4" t="s">
        <v>398</v>
      </c>
      <c r="D4" t="s">
        <v>278</v>
      </c>
      <c r="E4" s="6">
        <v>385027.36074902274</v>
      </c>
      <c r="F4" s="32">
        <v>9983.213721516966</v>
      </c>
      <c r="G4" s="61">
        <f>IF(ISERROR(F4/E4),"n/a",F4/E4)</f>
        <v>2.5928582587211122E-2</v>
      </c>
      <c r="I4" s="23">
        <v>2.5345894967037381</v>
      </c>
      <c r="K4" s="32">
        <f>F4*I4</f>
        <v>25303.348641905541</v>
      </c>
      <c r="L4" s="61">
        <f>IF(ISERROR(K4/E4),"n/a",K4/E4)</f>
        <v>6.5718313089960748E-2</v>
      </c>
    </row>
    <row r="5" spans="1:13" x14ac:dyDescent="0.25">
      <c r="D5" t="s">
        <v>373</v>
      </c>
      <c r="E5" s="6">
        <v>203456.88926094279</v>
      </c>
      <c r="F5" s="32">
        <v>5275.348756139424</v>
      </c>
      <c r="G5" s="61">
        <f>IF(ISERROR(F5/E5),"n/a",F5/E5)</f>
        <v>2.5928582587211129E-2</v>
      </c>
      <c r="I5" s="23">
        <v>2.5345894967037381</v>
      </c>
      <c r="K5" s="32">
        <f>F5*I5</f>
        <v>13370.843548760115</v>
      </c>
      <c r="L5" s="61">
        <f>IF(ISERROR(K5/E5),"n/a",K5/E5)</f>
        <v>6.5718313089960761E-2</v>
      </c>
    </row>
    <row r="6" spans="1:13" x14ac:dyDescent="0.25">
      <c r="D6" t="s">
        <v>279</v>
      </c>
      <c r="E6" s="6">
        <v>9286.2299054358791</v>
      </c>
      <c r="F6" s="32">
        <v>240.7787790269239</v>
      </c>
      <c r="G6" s="61">
        <f>IF(ISERROR(F6/E6),"n/a",F6/E6)</f>
        <v>2.5928582587211119E-2</v>
      </c>
      <c r="I6" s="23">
        <v>2.5345894967037381</v>
      </c>
      <c r="K6" s="32">
        <f>F6*I6</f>
        <v>610.27536435079162</v>
      </c>
      <c r="L6" s="61">
        <f>IF(ISERROR(K6/E6),"n/a",K6/E6)</f>
        <v>6.5718313089960734E-2</v>
      </c>
    </row>
    <row r="7" spans="1:13" x14ac:dyDescent="0.25">
      <c r="E7" s="6"/>
      <c r="F7" s="6"/>
    </row>
    <row r="8" spans="1:13" x14ac:dyDescent="0.25">
      <c r="B8" s="11" t="s">
        <v>476</v>
      </c>
      <c r="C8" t="s">
        <v>398</v>
      </c>
      <c r="D8" t="s">
        <v>278</v>
      </c>
      <c r="E8" s="6">
        <v>80040.099500977172</v>
      </c>
      <c r="F8" s="32">
        <v>2075.3263301996822</v>
      </c>
      <c r="G8" s="61">
        <f>IF(ISERROR(F8/E8),"n/a",F8/E8)</f>
        <v>2.5928582587211119E-2</v>
      </c>
      <c r="I8" s="23">
        <v>2.5345894967037381</v>
      </c>
      <c r="K8" s="32">
        <f>F8*I8</f>
        <v>5260.1003187568285</v>
      </c>
      <c r="L8" s="61">
        <f>IF(ISERROR(K8/E8),"n/a",K8/E8)</f>
        <v>6.5718313089960748E-2</v>
      </c>
    </row>
    <row r="9" spans="1:13" x14ac:dyDescent="0.25">
      <c r="D9" t="s">
        <v>373</v>
      </c>
      <c r="E9" s="6">
        <v>4478.0415703299132</v>
      </c>
      <c r="F9" s="32">
        <v>116.10927068526374</v>
      </c>
      <c r="G9" s="61">
        <f>IF(ISERROR(F9/E9),"n/a",F9/E9)</f>
        <v>2.5928582587211122E-2</v>
      </c>
      <c r="I9" s="23">
        <v>2.5345894967037381</v>
      </c>
      <c r="K9" s="32">
        <f>F9*I9</f>
        <v>294.28933794880072</v>
      </c>
      <c r="L9" s="61">
        <f>IF(ISERROR(K9/E9),"n/a",K9/E9)</f>
        <v>6.5718313089960748E-2</v>
      </c>
    </row>
    <row r="10" spans="1:13" x14ac:dyDescent="0.25">
      <c r="D10" t="s">
        <v>279</v>
      </c>
      <c r="E10" s="6">
        <v>102584.59642869291</v>
      </c>
      <c r="F10" s="32">
        <v>2659.873180677087</v>
      </c>
      <c r="G10" s="61">
        <f>IF(ISERROR(F10/E10),"n/a",F10/E10)</f>
        <v>2.5928582587211119E-2</v>
      </c>
      <c r="I10" s="23">
        <v>2.5345894967037381</v>
      </c>
      <c r="K10" s="32">
        <f>F10*I10</f>
        <v>6741.6866263081092</v>
      </c>
      <c r="L10" s="61">
        <f>IF(ISERROR(K10/E10),"n/a",K10/E10)</f>
        <v>6.5718313089960748E-2</v>
      </c>
    </row>
    <row r="11" spans="1:13" x14ac:dyDescent="0.25">
      <c r="E11" s="6"/>
    </row>
    <row r="12" spans="1:13" x14ac:dyDescent="0.25">
      <c r="B12" t="s">
        <v>407</v>
      </c>
      <c r="C12" s="11" t="s">
        <v>6</v>
      </c>
      <c r="D12" t="s">
        <v>373</v>
      </c>
      <c r="E12" s="6">
        <v>21230.180838579075</v>
      </c>
      <c r="F12" s="32">
        <v>550.46849721452463</v>
      </c>
      <c r="G12" s="61">
        <f>IF(ISERROR(F12/E12),"n/a",F12/E12)</f>
        <v>2.5928582587211122E-2</v>
      </c>
      <c r="I12" s="23">
        <v>2.5345894967037381</v>
      </c>
      <c r="K12" s="32">
        <f>F12*I12</f>
        <v>1395.2116713062251</v>
      </c>
      <c r="L12" s="61">
        <f>IF(ISERROR(K12/E12),"n/a",K12/E12)</f>
        <v>6.5718313089960748E-2</v>
      </c>
    </row>
    <row r="13" spans="1:13" x14ac:dyDescent="0.25">
      <c r="C13" s="11" t="s">
        <v>655</v>
      </c>
      <c r="D13" t="s">
        <v>279</v>
      </c>
      <c r="E13" s="6">
        <v>465761.33252651728</v>
      </c>
      <c r="F13" s="32">
        <v>12076.531176343304</v>
      </c>
      <c r="G13" s="61">
        <f>IF(ISERROR(F13/E13),"n/a",F13/E13)</f>
        <v>2.5928582587211119E-2</v>
      </c>
      <c r="I13" s="23">
        <v>2.5345894967037381</v>
      </c>
      <c r="K13" s="32">
        <f>F13*I13</f>
        <v>30609.049076174975</v>
      </c>
      <c r="L13" s="61">
        <f>IF(ISERROR(K13/E13),"n/a",K13/E13)</f>
        <v>6.5718313089960734E-2</v>
      </c>
    </row>
    <row r="14" spans="1:13" x14ac:dyDescent="0.25">
      <c r="E14" s="6"/>
    </row>
    <row r="15" spans="1:13" x14ac:dyDescent="0.25">
      <c r="B15" t="s">
        <v>400</v>
      </c>
      <c r="C15" s="11" t="s">
        <v>6</v>
      </c>
      <c r="D15" t="s">
        <v>373</v>
      </c>
      <c r="E15" s="6">
        <v>4023.3972916898911</v>
      </c>
      <c r="F15" s="32">
        <v>104.32098895874289</v>
      </c>
      <c r="G15" s="61">
        <f>IF(ISERROR(F15/E15),"n/a",F15/E15)</f>
        <v>2.5928582587211119E-2</v>
      </c>
      <c r="I15" s="23">
        <v>2.5345894967037381</v>
      </c>
      <c r="K15" s="32">
        <f>F15*I15</f>
        <v>264.41088290057638</v>
      </c>
      <c r="L15" s="61">
        <f>IF(ISERROR(K15/E15),"n/a",K15/E15)</f>
        <v>6.5718313089960748E-2</v>
      </c>
    </row>
    <row r="16" spans="1:13" x14ac:dyDescent="0.25">
      <c r="B16" s="204"/>
      <c r="C16" s="238" t="s">
        <v>6</v>
      </c>
      <c r="D16" s="204" t="s">
        <v>279</v>
      </c>
      <c r="E16" s="10">
        <v>20400.87122054397</v>
      </c>
      <c r="F16" s="131">
        <v>528.96567429293293</v>
      </c>
      <c r="G16" s="129">
        <f>IF(ISERROR(F16/E16),"n/a",F16/E16)</f>
        <v>2.5928582587211126E-2</v>
      </c>
      <c r="H16" s="204"/>
      <c r="I16" s="338">
        <v>2.5345894967037381</v>
      </c>
      <c r="J16" s="204"/>
      <c r="K16" s="131">
        <f>F16*I16</f>
        <v>1340.7108421796784</v>
      </c>
      <c r="L16" s="129">
        <f>IF(ISERROR(K16/E16),"n/a",K16/E16)</f>
        <v>6.5718313089960748E-2</v>
      </c>
    </row>
    <row r="17" spans="1:12" x14ac:dyDescent="0.25">
      <c r="D17" s="339" t="s">
        <v>406</v>
      </c>
      <c r="E17" s="6">
        <f>SUM(E4:E16)</f>
        <v>1296288.9992927318</v>
      </c>
      <c r="F17" s="32">
        <f>SUM(F4:F16)</f>
        <v>33610.936375054858</v>
      </c>
      <c r="G17" s="61">
        <f>IF(ISERROR(F17/E17),"n/a",F17/E17)</f>
        <v>2.5928582587211126E-2</v>
      </c>
      <c r="K17" s="32">
        <f>SUM(K4:K16)</f>
        <v>85189.926310591633</v>
      </c>
      <c r="L17" s="61">
        <f>IF(ISERROR(K17/E17),"n/a",K17/E17)</f>
        <v>6.5718313089960734E-2</v>
      </c>
    </row>
    <row r="19" spans="1:12" x14ac:dyDescent="0.25">
      <c r="A19" s="17" t="s">
        <v>411</v>
      </c>
      <c r="B19" t="s">
        <v>407</v>
      </c>
      <c r="C19" t="s">
        <v>398</v>
      </c>
      <c r="D19" t="s">
        <v>278</v>
      </c>
      <c r="E19" s="6">
        <v>20264.597934159116</v>
      </c>
      <c r="F19" s="32">
        <v>395.62796954104573</v>
      </c>
      <c r="G19" s="61">
        <f>IF(ISERROR(F19/E19),"n/a",F19/E19)</f>
        <v>1.9523109751620266E-2</v>
      </c>
      <c r="I19" s="23">
        <v>2.5345894967037381</v>
      </c>
      <c r="K19" s="32">
        <f>F19*I19</f>
        <v>1002.7544962009609</v>
      </c>
      <c r="L19" s="61">
        <f>IF(ISERROR(K19/E19),"n/a",K19/E19)</f>
        <v>4.9483068919451055E-2</v>
      </c>
    </row>
    <row r="20" spans="1:12" x14ac:dyDescent="0.25">
      <c r="D20" t="s">
        <v>373</v>
      </c>
      <c r="E20" s="6">
        <v>10708.257329523316</v>
      </c>
      <c r="F20" s="32">
        <v>209.05848309287578</v>
      </c>
      <c r="G20" s="61">
        <f>IF(ISERROR(F20/E20),"n/a",F20/E20)</f>
        <v>1.9523109751620259E-2</v>
      </c>
      <c r="I20" s="23">
        <v>2.5345894967037381</v>
      </c>
      <c r="K20" s="32">
        <f>F20*I20</f>
        <v>529.87743544401894</v>
      </c>
      <c r="L20" s="61">
        <f>IF(ISERROR(K20/E20),"n/a",K20/E20)</f>
        <v>4.9483068919451034E-2</v>
      </c>
    </row>
    <row r="21" spans="1:12" x14ac:dyDescent="0.25">
      <c r="D21" t="s">
        <v>279</v>
      </c>
      <c r="E21" s="6">
        <v>488.74894239136245</v>
      </c>
      <c r="F21" s="32">
        <v>9.5418992432948979</v>
      </c>
      <c r="G21" s="61">
        <f>IF(ISERROR(F21/E21),"n/a",F21/E21)</f>
        <v>1.9523109751620263E-2</v>
      </c>
      <c r="I21" s="23">
        <v>2.5345894967037381</v>
      </c>
      <c r="K21" s="32">
        <f>F21*I21</f>
        <v>24.184797600660595</v>
      </c>
      <c r="L21" s="61">
        <f>IF(ISERROR(K21/E21),"n/a",K21/E21)</f>
        <v>4.9483068919451041E-2</v>
      </c>
    </row>
    <row r="22" spans="1:12" x14ac:dyDescent="0.25">
      <c r="E22" s="6"/>
      <c r="F22" s="6"/>
    </row>
    <row r="23" spans="1:12" x14ac:dyDescent="0.25">
      <c r="B23" s="11" t="s">
        <v>476</v>
      </c>
      <c r="C23" t="s">
        <v>398</v>
      </c>
      <c r="D23" t="s">
        <v>278</v>
      </c>
      <c r="E23" s="6">
        <v>4212.6368158409077</v>
      </c>
      <c r="F23" s="32">
        <v>82.243770899378163</v>
      </c>
      <c r="G23" s="61">
        <f>IF(ISERROR(F23/E23),"n/a",F23/E23)</f>
        <v>1.9523109751620263E-2</v>
      </c>
      <c r="I23" s="23">
        <v>2.5345894967037381</v>
      </c>
      <c r="K23" s="32">
        <f>F23*I23</f>
        <v>208.45419789087245</v>
      </c>
      <c r="L23" s="61">
        <f>IF(ISERROR(K23/E23),"n/a",K23/E23)</f>
        <v>4.9483068919451048E-2</v>
      </c>
    </row>
    <row r="24" spans="1:12" x14ac:dyDescent="0.25">
      <c r="D24" t="s">
        <v>373</v>
      </c>
      <c r="E24" s="6">
        <v>235.68639843841672</v>
      </c>
      <c r="F24" s="32">
        <v>4.601331423677312</v>
      </c>
      <c r="G24" s="61">
        <f>IF(ISERROR(F24/E24),"n/a",F24/E24)</f>
        <v>1.9523109751620263E-2</v>
      </c>
      <c r="I24" s="23">
        <v>2.5345894967037381</v>
      </c>
      <c r="K24" s="32">
        <f>F24*I24</f>
        <v>11.662486297305373</v>
      </c>
      <c r="L24" s="61">
        <f>IF(ISERROR(K24/E24),"n/a",K24/E24)</f>
        <v>4.9483068919451041E-2</v>
      </c>
    </row>
    <row r="25" spans="1:12" x14ac:dyDescent="0.25">
      <c r="D25" t="s">
        <v>279</v>
      </c>
      <c r="E25" s="6">
        <v>5399.189285720684</v>
      </c>
      <c r="F25" s="32">
        <v>105.4089649948971</v>
      </c>
      <c r="G25" s="61">
        <f>IF(ISERROR(F25/E25),"n/a",F25/E25)</f>
        <v>1.9523109751620259E-2</v>
      </c>
      <c r="I25" s="23">
        <v>2.5345894967037381</v>
      </c>
      <c r="K25" s="32">
        <f>F25*I25</f>
        <v>267.1684555344782</v>
      </c>
      <c r="L25" s="61">
        <f>IF(ISERROR(K25/E25),"n/a",K25/E25)</f>
        <v>4.9483068919451034E-2</v>
      </c>
    </row>
    <row r="26" spans="1:12" x14ac:dyDescent="0.25">
      <c r="E26" s="6"/>
    </row>
    <row r="27" spans="1:12" x14ac:dyDescent="0.25">
      <c r="B27" t="s">
        <v>407</v>
      </c>
      <c r="C27" s="11" t="s">
        <v>6</v>
      </c>
      <c r="D27" s="11" t="s">
        <v>433</v>
      </c>
      <c r="E27" s="6">
        <v>1117.3779388725839</v>
      </c>
      <c r="F27" s="32">
        <v>-6.6721220627665128</v>
      </c>
      <c r="G27" s="61">
        <f>IF(ISERROR(F27/E27),"n/a",F27/E27)</f>
        <v>-5.9712312465185907E-3</v>
      </c>
      <c r="I27" s="23">
        <v>2.5345894967037381</v>
      </c>
      <c r="K27" s="32">
        <f>F27*I27</f>
        <v>-16.911090501013284</v>
      </c>
      <c r="L27" s="61">
        <f>IF(ISERROR(K27/E27),"n/a",K27/E27)</f>
        <v>-1.5134619999815191E-2</v>
      </c>
    </row>
    <row r="28" spans="1:12" x14ac:dyDescent="0.25">
      <c r="C28" s="11" t="s">
        <v>655</v>
      </c>
      <c r="D28" t="s">
        <v>279</v>
      </c>
      <c r="E28" s="6">
        <v>0</v>
      </c>
      <c r="F28" s="32">
        <v>0</v>
      </c>
      <c r="G28" s="61" t="str">
        <f>IF(ISERROR(F28/E28),"n/a",F28/E28)</f>
        <v>n/a</v>
      </c>
      <c r="I28" s="23">
        <v>2.5345894967037381</v>
      </c>
      <c r="K28" s="32">
        <f>F28*I28</f>
        <v>0</v>
      </c>
      <c r="L28" s="61" t="str">
        <f>IF(ISERROR(K28/E28),"n/a",K28/E28)</f>
        <v>n/a</v>
      </c>
    </row>
    <row r="29" spans="1:12" x14ac:dyDescent="0.25">
      <c r="E29" s="6"/>
    </row>
    <row r="30" spans="1:12" x14ac:dyDescent="0.25">
      <c r="B30" t="s">
        <v>400</v>
      </c>
      <c r="C30" s="11" t="s">
        <v>6</v>
      </c>
      <c r="D30" t="s">
        <v>373</v>
      </c>
      <c r="E30" s="6">
        <v>211.75775219420498</v>
      </c>
      <c r="F30" s="32">
        <v>4.1341698368438697</v>
      </c>
      <c r="G30" s="61">
        <f>IF(ISERROR(F30/E30),"n/a",F30/E30)</f>
        <v>1.9523109751620259E-2</v>
      </c>
      <c r="I30" s="23">
        <v>2.5345894967037381</v>
      </c>
      <c r="K30" s="32">
        <f>F30*I30</f>
        <v>10.478423446053879</v>
      </c>
      <c r="L30" s="61">
        <f>IF(ISERROR(K30/E30),"n/a",K30/E30)</f>
        <v>4.9483068919451041E-2</v>
      </c>
    </row>
    <row r="31" spans="1:12" x14ac:dyDescent="0.25">
      <c r="B31" s="204"/>
      <c r="C31" s="238" t="s">
        <v>6</v>
      </c>
      <c r="D31" s="204" t="s">
        <v>279</v>
      </c>
      <c r="E31" s="10">
        <v>1073.7300642391572</v>
      </c>
      <c r="F31" s="131">
        <v>20.96254988775534</v>
      </c>
      <c r="G31" s="129">
        <f>IF(ISERROR(F31/E31),"n/a",F31/E31)</f>
        <v>1.9523109751620263E-2</v>
      </c>
      <c r="H31" s="204"/>
      <c r="I31" s="338">
        <v>2.5345894967037381</v>
      </c>
      <c r="J31" s="204"/>
      <c r="K31" s="131">
        <f>F31*I31</f>
        <v>53.131458769632808</v>
      </c>
      <c r="L31" s="129">
        <f>IF(ISERROR(K31/E31),"n/a",K31/E31)</f>
        <v>4.9483068919451041E-2</v>
      </c>
    </row>
    <row r="32" spans="1:12" x14ac:dyDescent="0.25">
      <c r="D32" s="339" t="s">
        <v>405</v>
      </c>
      <c r="E32" s="6">
        <f>SUM(E19:E31)</f>
        <v>43711.982461379746</v>
      </c>
      <c r="F32" s="32">
        <f>SUM(F19:F31)</f>
        <v>824.90701685700162</v>
      </c>
      <c r="G32" s="61">
        <f>IF(ISERROR(F32/E32),"n/a",F32/E32)</f>
        <v>1.887141626637091E-2</v>
      </c>
      <c r="K32" s="32">
        <f>SUM(K19:K31)</f>
        <v>2090.8006606829699</v>
      </c>
      <c r="L32" s="61">
        <f>IF(ISERROR(K32/E32),"n/a",K32/E32)</f>
        <v>4.7831293456667784E-2</v>
      </c>
    </row>
    <row r="34" spans="1:12" x14ac:dyDescent="0.25">
      <c r="A34" s="17" t="s">
        <v>412</v>
      </c>
      <c r="B34" t="s">
        <v>407</v>
      </c>
      <c r="C34" s="11" t="s">
        <v>409</v>
      </c>
      <c r="D34" s="11" t="s">
        <v>433</v>
      </c>
      <c r="E34" s="6">
        <v>839127.54569087608</v>
      </c>
      <c r="F34" s="32">
        <v>-10302.606891185858</v>
      </c>
      <c r="G34" s="61">
        <f>IF(ISERROR(F34/E34),"n/a",F34/E34)</f>
        <v>-1.2277760328679768E-2</v>
      </c>
      <c r="I34" s="23">
        <v>2.5345894967037381</v>
      </c>
      <c r="K34" s="32">
        <f>F34*I34</f>
        <v>-26112.879215067227</v>
      </c>
      <c r="L34" s="61">
        <f>IF(ISERROR(K34/E34),"n/a",K34/E34)</f>
        <v>-3.1119082372117576E-2</v>
      </c>
    </row>
    <row r="35" spans="1:12" x14ac:dyDescent="0.25">
      <c r="E35" s="6"/>
      <c r="F35" s="32"/>
    </row>
    <row r="36" spans="1:12" x14ac:dyDescent="0.25">
      <c r="B36" t="s">
        <v>400</v>
      </c>
      <c r="C36" t="s">
        <v>409</v>
      </c>
      <c r="D36" t="s">
        <v>373</v>
      </c>
      <c r="E36" s="6">
        <v>98033.3509285537</v>
      </c>
      <c r="F36" s="32">
        <v>1295.6656908446221</v>
      </c>
      <c r="G36" s="61">
        <f>IF(ISERROR(F36/E36),"n/a",F36/E36)</f>
        <v>1.3216580669459089E-2</v>
      </c>
      <c r="I36" s="23">
        <v>2.5345894967037381</v>
      </c>
      <c r="K36" s="32">
        <f>F36*I36</f>
        <v>3283.9806512541718</v>
      </c>
      <c r="L36" s="61">
        <f>IF(ISERROR(K36/E36),"n/a",K36/E36)</f>
        <v>3.3498606547148667E-2</v>
      </c>
    </row>
    <row r="37" spans="1:12" x14ac:dyDescent="0.25">
      <c r="B37" s="204"/>
      <c r="C37" s="204"/>
      <c r="D37" s="204" t="s">
        <v>279</v>
      </c>
      <c r="E37" s="10">
        <v>274703.49562645867</v>
      </c>
      <c r="F37" s="131">
        <v>3630.6409101294926</v>
      </c>
      <c r="G37" s="129">
        <f>IF(ISERROR(F37/E37),"n/a",F37/E37)</f>
        <v>1.3216580669459087E-2</v>
      </c>
      <c r="H37" s="204"/>
      <c r="I37" s="338">
        <v>2.5345894967037381</v>
      </c>
      <c r="J37" s="204"/>
      <c r="K37" s="131">
        <f>F37*I37</f>
        <v>9202.1843171171131</v>
      </c>
      <c r="L37" s="129">
        <f>IF(ISERROR(K37/E37),"n/a",K37/E37)</f>
        <v>3.3498606547148667E-2</v>
      </c>
    </row>
    <row r="38" spans="1:12" x14ac:dyDescent="0.25">
      <c r="D38" s="339" t="s">
        <v>413</v>
      </c>
      <c r="E38" s="6">
        <f>SUM(E34:E37)</f>
        <v>1211864.3922458885</v>
      </c>
      <c r="F38" s="32">
        <f>SUM(F34:F37)</f>
        <v>-5376.3002902117441</v>
      </c>
      <c r="G38" s="61">
        <f>IF(ISERROR(F38/E38),"n/a",F38/E38)</f>
        <v>-4.4363877052680063E-3</v>
      </c>
      <c r="K38" s="32">
        <f>SUM(K34:K37)</f>
        <v>-13626.714246695941</v>
      </c>
      <c r="L38" s="61">
        <f>IF(ISERROR(K38/E38),"n/a",K38/E38)</f>
        <v>-1.1244421681077884E-2</v>
      </c>
    </row>
    <row r="39" spans="1:12" x14ac:dyDescent="0.25">
      <c r="D39" s="339"/>
      <c r="E39" s="6"/>
      <c r="F39" s="32"/>
      <c r="G39" s="61"/>
      <c r="K39" s="32"/>
      <c r="L39" s="61"/>
    </row>
    <row r="40" spans="1:12" x14ac:dyDescent="0.25">
      <c r="D40" s="13" t="s">
        <v>269</v>
      </c>
      <c r="E40" s="6">
        <f>SUM(E17,E32,E38)</f>
        <v>2551865.3739999998</v>
      </c>
      <c r="F40" s="32">
        <f>SUM(F17,F32,F38)</f>
        <v>29059.543101700117</v>
      </c>
      <c r="G40" s="61">
        <f>IF(ISERROR(F40/E40),"n/a",F40/E40)</f>
        <v>1.1387569030003273E-2</v>
      </c>
      <c r="K40" s="32">
        <f>SUM(K17,K32,K38)</f>
        <v>73654.012724578672</v>
      </c>
      <c r="L40" s="61">
        <f>IF(ISERROR(K40/E40),"n/a",K40/E40)</f>
        <v>2.8862812856435067E-2</v>
      </c>
    </row>
    <row r="41" spans="1:12" hidden="1" x14ac:dyDescent="0.25"/>
    <row r="42" spans="1:12" hidden="1" x14ac:dyDescent="0.25">
      <c r="C42" s="28"/>
      <c r="D42" s="28" t="s">
        <v>191</v>
      </c>
      <c r="E42" s="105">
        <v>0</v>
      </c>
      <c r="F42" s="105">
        <v>0</v>
      </c>
    </row>
    <row r="43" spans="1:12" hidden="1" x14ac:dyDescent="0.25">
      <c r="E43" s="105">
        <v>0</v>
      </c>
      <c r="F43" s="105">
        <v>0</v>
      </c>
    </row>
    <row r="44" spans="1:12" hidden="1" x14ac:dyDescent="0.25">
      <c r="E44" s="105">
        <v>0</v>
      </c>
      <c r="F44" s="105">
        <v>0</v>
      </c>
    </row>
    <row r="45" spans="1:12" hidden="1" x14ac:dyDescent="0.25">
      <c r="E45" s="105">
        <v>0</v>
      </c>
      <c r="F45" s="105">
        <v>0</v>
      </c>
    </row>
    <row r="46" spans="1:12" x14ac:dyDescent="0.25">
      <c r="A46" s="103"/>
      <c r="B46" s="204"/>
      <c r="C46" s="213"/>
      <c r="D46" s="213"/>
      <c r="E46" s="213"/>
    </row>
    <row r="47" spans="1:12" x14ac:dyDescent="0.25">
      <c r="A47" s="4" t="s">
        <v>235</v>
      </c>
    </row>
    <row r="48" spans="1:12" x14ac:dyDescent="0.25">
      <c r="A48" s="2" t="s">
        <v>401</v>
      </c>
    </row>
    <row r="49" spans="1:1" x14ac:dyDescent="0.25">
      <c r="A49" s="11" t="s">
        <v>477</v>
      </c>
    </row>
    <row r="50" spans="1:1" x14ac:dyDescent="0.25">
      <c r="A50" s="17" t="s">
        <v>809</v>
      </c>
    </row>
    <row r="51" spans="1:1" x14ac:dyDescent="0.25">
      <c r="A51" s="17" t="s">
        <v>808</v>
      </c>
    </row>
    <row r="52" spans="1:1" x14ac:dyDescent="0.25">
      <c r="A52" s="2" t="s">
        <v>414</v>
      </c>
    </row>
    <row r="53" spans="1:1" x14ac:dyDescent="0.25">
      <c r="A53" s="17" t="s">
        <v>7</v>
      </c>
    </row>
    <row r="54" spans="1:1" x14ac:dyDescent="0.25">
      <c r="A54" s="17" t="s">
        <v>656</v>
      </c>
    </row>
    <row r="55" spans="1:1" x14ac:dyDescent="0.25">
      <c r="A55" s="17" t="s">
        <v>8</v>
      </c>
    </row>
    <row r="56" spans="1:1" x14ac:dyDescent="0.25">
      <c r="A56" s="17" t="s">
        <v>657</v>
      </c>
    </row>
    <row r="57" spans="1:1" x14ac:dyDescent="0.25">
      <c r="A57" s="11" t="s">
        <v>26</v>
      </c>
    </row>
  </sheetData>
  <phoneticPr fontId="5" type="noConversion"/>
  <printOptions horizontalCentered="1"/>
  <pageMargins left="0.75" right="0.75" top="1" bottom="1" header="0.5" footer="0.5"/>
  <pageSetup scale="70" orientation="landscape" r:id="rId1"/>
  <headerFooter alignWithMargins="0">
    <oddFooter>&amp;L&amp;F</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3">
    <pageSetUpPr fitToPage="1"/>
  </sheetPr>
  <dimension ref="A1:O27"/>
  <sheetViews>
    <sheetView zoomScale="70" workbookViewId="0"/>
  </sheetViews>
  <sheetFormatPr defaultRowHeight="12.5" x14ac:dyDescent="0.25"/>
  <cols>
    <col min="1" max="1" width="12.54296875" customWidth="1"/>
    <col min="2" max="2" width="15.90625" customWidth="1"/>
    <col min="3" max="7" width="11.6328125" customWidth="1"/>
    <col min="8" max="8" width="3.6328125" customWidth="1"/>
    <col min="9" max="9" width="11.6328125" customWidth="1"/>
    <col min="10" max="10" width="3.6328125" customWidth="1"/>
    <col min="11" max="14" width="11.6328125" customWidth="1"/>
  </cols>
  <sheetData>
    <row r="1" spans="1:15" ht="15.5" x14ac:dyDescent="0.35">
      <c r="A1" s="117" t="s">
        <v>14</v>
      </c>
      <c r="B1" s="117"/>
    </row>
    <row r="2" spans="1:15" ht="15.5" x14ac:dyDescent="0.35">
      <c r="A2" s="117" t="s">
        <v>787</v>
      </c>
      <c r="B2" s="335"/>
    </row>
    <row r="3" spans="1:15" ht="37.5" x14ac:dyDescent="0.25">
      <c r="A3" s="337" t="s">
        <v>399</v>
      </c>
      <c r="B3" s="336" t="s">
        <v>348</v>
      </c>
      <c r="C3" s="125" t="s">
        <v>250</v>
      </c>
      <c r="D3" s="138" t="s">
        <v>675</v>
      </c>
      <c r="E3" s="138" t="s">
        <v>39</v>
      </c>
      <c r="F3" s="138" t="s">
        <v>217</v>
      </c>
      <c r="G3" s="8" t="s">
        <v>104</v>
      </c>
      <c r="H3" s="8"/>
      <c r="I3" s="142" t="s">
        <v>404</v>
      </c>
      <c r="J3" s="65"/>
      <c r="K3" s="138" t="s">
        <v>40</v>
      </c>
      <c r="L3" s="138" t="s">
        <v>41</v>
      </c>
      <c r="M3" s="119" t="s">
        <v>218</v>
      </c>
      <c r="N3" s="31" t="s">
        <v>133</v>
      </c>
      <c r="O3" s="4"/>
    </row>
    <row r="4" spans="1:15" x14ac:dyDescent="0.25">
      <c r="A4" s="11" t="s">
        <v>2</v>
      </c>
      <c r="B4" t="s">
        <v>278</v>
      </c>
      <c r="C4" s="6">
        <f>SUM('Table 3.26-REC Detail NonACS'!E4,'Table 3.26-REC Detail NonACS'!E19)</f>
        <v>234289.14901578033</v>
      </c>
      <c r="D4" s="32">
        <f>SUM('Table 3.26-REC Detail NonACS'!F4,'Table 3.26-REC Detail NonACS'!F19)</f>
        <v>18171.570113438283</v>
      </c>
      <c r="E4" s="32">
        <f>SUM('Table 3.27-REC Detail ACS'!F4,'Table 3.27-REC Detail ACS'!F19)</f>
        <v>0</v>
      </c>
      <c r="F4" s="81">
        <f>SUM(D4:E4)</f>
        <v>18171.570113438283</v>
      </c>
      <c r="G4" s="61">
        <f>IF(ISERROR(F4/C4),"n/a",F4/C4)</f>
        <v>7.7560442682790887E-2</v>
      </c>
      <c r="I4" s="23">
        <v>1.3614602604109014</v>
      </c>
      <c r="K4" s="32">
        <f>D4*I4</f>
        <v>24739.87057871664</v>
      </c>
      <c r="L4" s="32">
        <f>E4*I4</f>
        <v>0</v>
      </c>
      <c r="M4" s="32">
        <f>SUM(K4:L4)</f>
        <v>24739.87057871664</v>
      </c>
      <c r="N4" s="61">
        <f>IF(ISERROR(M4/C4),"n/a",M4/C4)</f>
        <v>0.10559546049249728</v>
      </c>
    </row>
    <row r="5" spans="1:15" x14ac:dyDescent="0.25">
      <c r="B5" s="11" t="s">
        <v>431</v>
      </c>
      <c r="C5" s="6">
        <f>SUM('Table 3.26-REC Detail NonACS'!E5,'Table 3.26-REC Detail NonACS'!E12,'Table 3.26-REC Detail NonACS'!E20,'Table 3.26-REC Detail NonACS'!E27,'Table 3.26-REC Detail NonACS'!E34)</f>
        <v>615024.7831993585</v>
      </c>
      <c r="D5" s="32">
        <f>SUM('Table 3.26-REC Detail NonACS'!F5,'Table 3.26-REC Detail NonACS'!F12,'Table 3.26-REC Detail NonACS'!F20,'Table 3.26-REC Detail NonACS'!F27,'Table 3.26-REC Detail NonACS'!F34)</f>
        <v>1446.5939052571748</v>
      </c>
      <c r="E5" s="32">
        <f>SUM('Table 3.27-REC Detail ACS'!F5,'Table 3.27-REC Detail ACS'!F12,'Table 3.27-REC Detail ACS'!F20,'Table 3.27-REC Detail ACS'!F27,'Table 3.27-REC Detail ACS'!F34)</f>
        <v>0</v>
      </c>
      <c r="F5" s="81">
        <f>SUM(D5:E5)</f>
        <v>1446.5939052571748</v>
      </c>
      <c r="G5" s="61">
        <f>IF(ISERROR(F5/C5),"n/a",F5/C5)</f>
        <v>2.3520904275304067E-3</v>
      </c>
      <c r="I5" s="23">
        <v>1.3614602604109014</v>
      </c>
      <c r="K5" s="32">
        <f>D5*I5</f>
        <v>1969.4801149602561</v>
      </c>
      <c r="L5" s="32">
        <f>E5*I5</f>
        <v>0</v>
      </c>
      <c r="M5" s="32">
        <f>SUM(K5:L5)</f>
        <v>1969.4801149602561</v>
      </c>
      <c r="N5" s="61">
        <f>IF(ISERROR(M5/C5),"n/a",M5/C5)</f>
        <v>3.202277645975536E-3</v>
      </c>
    </row>
    <row r="6" spans="1:15" x14ac:dyDescent="0.25">
      <c r="B6" t="s">
        <v>279</v>
      </c>
      <c r="C6" s="6">
        <f>SUM('Table 3.26-REC Detail NonACS'!E6,'Table 3.26-REC Detail NonACS'!E13,'Table 3.26-REC Detail NonACS'!E21,'Table 3.26-REC Detail NonACS'!E28)</f>
        <v>271134.6304375726</v>
      </c>
      <c r="D6" s="32">
        <f>SUM('Table 3.26-REC Detail NonACS'!F6,'Table 3.26-REC Detail NonACS'!F13,'Table 3.26-REC Detail NonACS'!F21,'Table 3.26-REC Detail NonACS'!F28)</f>
        <v>21029.32196337304</v>
      </c>
      <c r="E6" s="32">
        <f>SUM('Table 3.27-REC Detail ACS'!F6,'Table 3.27-REC Detail ACS'!F13,'Table 3.27-REC Detail ACS'!F21,'Table 3.27-REC Detail ACS'!F28)</f>
        <v>0</v>
      </c>
      <c r="F6" s="81">
        <f>SUM(D6:E6)</f>
        <v>21029.32196337304</v>
      </c>
      <c r="G6" s="61">
        <f>IF(ISERROR(F6/C6),"n/a",F6/C6)</f>
        <v>7.7560442682790887E-2</v>
      </c>
      <c r="I6" s="23">
        <v>1.3614602604109014</v>
      </c>
      <c r="K6" s="32">
        <f>D6*I6</f>
        <v>28630.586156518548</v>
      </c>
      <c r="L6" s="32">
        <f>E6*I6</f>
        <v>0</v>
      </c>
      <c r="M6" s="32">
        <f>SUM(K6:L6)</f>
        <v>28630.586156518548</v>
      </c>
      <c r="N6" s="61">
        <f>IF(ISERROR(M6/C6),"n/a",M6/C6)</f>
        <v>0.10559546049249728</v>
      </c>
    </row>
    <row r="7" spans="1:15" x14ac:dyDescent="0.25">
      <c r="C7" s="6"/>
      <c r="D7" s="32"/>
      <c r="E7" s="32"/>
    </row>
    <row r="8" spans="1:15" x14ac:dyDescent="0.25">
      <c r="A8" s="11" t="s">
        <v>3</v>
      </c>
      <c r="B8" t="s">
        <v>278</v>
      </c>
      <c r="C8" s="6">
        <f>SUM('Table 3.26-REC Detail NonACS'!E8,'Table 3.26-REC Detail NonACS'!E23)</f>
        <v>50498.77319805204</v>
      </c>
      <c r="D8" s="32">
        <f>SUM('Table 3.26-REC Detail NonACS'!F8,'Table 3.26-REC Detail NonACS'!F23)</f>
        <v>1958.3536020893862</v>
      </c>
      <c r="E8" s="32">
        <f>SUM('Table 3.27-REC Detail ACS'!F8,'Table 3.27-REC Detail ACS'!F23)</f>
        <v>3686.0785686677973</v>
      </c>
      <c r="F8" s="81">
        <f>SUM(D8:E8)</f>
        <v>5644.4321707571835</v>
      </c>
      <c r="G8" s="61">
        <f>IF(ISERROR(F8/C8),"n/a",F8/C8)</f>
        <v>0.11177364940372282</v>
      </c>
      <c r="I8" s="23">
        <v>1.3614602604109014</v>
      </c>
      <c r="K8" s="32">
        <f>D8*I8</f>
        <v>2666.2206050772425</v>
      </c>
      <c r="L8" s="32">
        <f>E8*I8</f>
        <v>5018.4494879935019</v>
      </c>
      <c r="M8" s="32">
        <f>SUM(K8:L8)</f>
        <v>7684.6700930707448</v>
      </c>
      <c r="N8" s="61">
        <f>IF(ISERROR(M8/C8),"n/a",M8/C8)</f>
        <v>0.15217538182426926</v>
      </c>
    </row>
    <row r="9" spans="1:15" x14ac:dyDescent="0.25">
      <c r="B9" s="11" t="s">
        <v>373</v>
      </c>
      <c r="C9" s="6">
        <f>SUM('Table 3.26-REC Detail NonACS'!E9,'Table 3.26-REC Detail NonACS'!E24)</f>
        <v>2825.2789169605953</v>
      </c>
      <c r="D9" s="32">
        <f>SUM('Table 3.26-REC Detail NonACS'!F9,'Table 3.26-REC Detail NonACS'!F24)</f>
        <v>109.5649417509099</v>
      </c>
      <c r="E9" s="32">
        <f>SUM('Table 3.27-REC Detail ACS'!F9,'Table 3.27-REC Detail ACS'!F24)</f>
        <v>206.22679338117342</v>
      </c>
      <c r="F9" s="81">
        <f>SUM(D9:E9)</f>
        <v>315.79173513208332</v>
      </c>
      <c r="G9" s="61">
        <f>IF(ISERROR(F9/C9),"n/a",F9/C9)</f>
        <v>0.11177364940372282</v>
      </c>
      <c r="I9" s="23">
        <v>1.3614602604109014</v>
      </c>
      <c r="K9" s="32">
        <f>D9*I9</f>
        <v>149.16831412809904</v>
      </c>
      <c r="L9" s="32">
        <f>E9*I9</f>
        <v>280.7695838204375</v>
      </c>
      <c r="M9" s="32">
        <f>SUM(K9:L9)</f>
        <v>429.93789794853654</v>
      </c>
      <c r="N9" s="61">
        <f>IF(ISERROR(M9/C9),"n/a",M9/C9)</f>
        <v>0.15217538182426926</v>
      </c>
    </row>
    <row r="10" spans="1:15" x14ac:dyDescent="0.25">
      <c r="B10" t="s">
        <v>279</v>
      </c>
      <c r="C10" s="6">
        <f>SUM('Table 3.26-REC Detail NonACS'!E10,'Table 3.26-REC Detail NonACS'!E25)</f>
        <v>64722.511603112354</v>
      </c>
      <c r="D10" s="32">
        <f>SUM('Table 3.26-REC Detail NonACS'!F10,'Table 3.26-REC Detail NonACS'!F25)</f>
        <v>2509.9533257397325</v>
      </c>
      <c r="E10" s="32">
        <f>SUM('Table 3.27-REC Detail ACS'!F10,'Table 3.27-REC Detail ACS'!F25)</f>
        <v>4724.317994714931</v>
      </c>
      <c r="F10" s="81">
        <f>SUM(D10:E10)</f>
        <v>7234.2713204546635</v>
      </c>
      <c r="G10" s="61">
        <f>IF(ISERROR(F10/C10),"n/a",F10/C10)</f>
        <v>0.11177364940372284</v>
      </c>
      <c r="I10" s="23">
        <v>1.3614602604109014</v>
      </c>
      <c r="K10" s="32">
        <f>D10*I10</f>
        <v>3417.201708480824</v>
      </c>
      <c r="L10" s="32">
        <f>E10*I10</f>
        <v>6431.971207348498</v>
      </c>
      <c r="M10" s="32">
        <f>SUM(K10:L10)</f>
        <v>9849.1729158293219</v>
      </c>
      <c r="N10" s="61">
        <f>IF(ISERROR(M10/C10),"n/a",M10/C10)</f>
        <v>0.15217538182426929</v>
      </c>
    </row>
    <row r="11" spans="1:15" x14ac:dyDescent="0.25">
      <c r="C11" s="6"/>
      <c r="D11" s="32"/>
      <c r="E11" s="32"/>
    </row>
    <row r="12" spans="1:15" x14ac:dyDescent="0.25">
      <c r="A12" s="11" t="s">
        <v>4</v>
      </c>
      <c r="B12" s="11" t="s">
        <v>373</v>
      </c>
      <c r="C12" s="6">
        <f>SUM('Table 3.26-REC Detail NonACS'!E15,'Table 3.26-REC Detail NonACS'!E30,'Table 3.26-REC Detail NonACS'!E36)</f>
        <v>60476.145865315651</v>
      </c>
      <c r="D12" s="32">
        <f>SUM('Table 3.26-REC Detail NonACS'!F15,'Table 3.26-REC Detail NonACS'!F30,'Table 3.26-REC Detail NonACS'!F36)</f>
        <v>2345.2783225314579</v>
      </c>
      <c r="E12" s="32">
        <f>SUM('Table 3.27-REC Detail ACS'!F15,'Table 3.27-REC Detail ACS'!F30,'Table 3.27-REC Detail ACS'!F36)</f>
        <v>4414.3612027067356</v>
      </c>
      <c r="F12" s="81">
        <f>SUM(D12:E12)</f>
        <v>6759.6395252381935</v>
      </c>
      <c r="G12" s="61">
        <f>IF(ISERROR(F12/C12),"n/a",F12/C12)</f>
        <v>0.11177364940372282</v>
      </c>
      <c r="I12" s="23">
        <v>1.3614602604109014</v>
      </c>
      <c r="K12" s="32">
        <f>D12*I12</f>
        <v>3193.0032357297205</v>
      </c>
      <c r="L12" s="32">
        <f>E12*I12</f>
        <v>6009.9773525848923</v>
      </c>
      <c r="M12" s="32">
        <f>SUM(K12:L12)</f>
        <v>9202.9805883146128</v>
      </c>
      <c r="N12" s="61">
        <f>IF(ISERROR(M12/C12),"n/a",M12/C12)</f>
        <v>0.15217538182426926</v>
      </c>
    </row>
    <row r="13" spans="1:15" x14ac:dyDescent="0.25">
      <c r="A13" s="204"/>
      <c r="B13" s="238" t="s">
        <v>279</v>
      </c>
      <c r="C13" s="10">
        <f>SUM('Table 3.26-REC Detail NonACS'!E16,'Table 3.26-REC Detail NonACS'!E31,'Table 3.26-REC Detail NonACS'!E37)</f>
        <v>175221.05137380076</v>
      </c>
      <c r="D13" s="131">
        <f>SUM('Table 3.26-REC Detail NonACS'!F16,'Table 3.26-REC Detail NonACS'!F31,'Table 3.26-REC Detail NonACS'!F37)</f>
        <v>6795.1111559480169</v>
      </c>
      <c r="E13" s="131">
        <f>SUM('Table 3.27-REC Detail ACS'!F16,'Table 3.27-REC Detail ACS'!F31,'Table 3.27-REC Detail ACS'!F37)</f>
        <v>12789.985208458895</v>
      </c>
      <c r="F13" s="239">
        <f>SUM(D13:E13)</f>
        <v>19585.096364406912</v>
      </c>
      <c r="G13" s="129">
        <f>IF(ISERROR(F13/C13),"n/a",F13/C13)</f>
        <v>0.11177364940372284</v>
      </c>
      <c r="H13" s="204"/>
      <c r="I13" s="338">
        <v>1.3614602604109014</v>
      </c>
      <c r="J13" s="204"/>
      <c r="K13" s="131">
        <f>D13*I13</f>
        <v>9251.2738038980078</v>
      </c>
      <c r="L13" s="131">
        <f>E13*I13</f>
        <v>17413.056592560024</v>
      </c>
      <c r="M13" s="131">
        <f>SUM(K13:L13)</f>
        <v>26664.330396458034</v>
      </c>
      <c r="N13" s="129">
        <f>IF(ISERROR(M13/C13),"n/a",M13/C13)</f>
        <v>0.15217538182426929</v>
      </c>
    </row>
    <row r="14" spans="1:15" x14ac:dyDescent="0.25">
      <c r="B14" s="13" t="s">
        <v>428</v>
      </c>
      <c r="C14" s="6">
        <f>SUM(C4:C13)</f>
        <v>1474192.3236099526</v>
      </c>
      <c r="D14" s="32">
        <f>SUM(D4:D13)</f>
        <v>54365.747330128004</v>
      </c>
      <c r="E14" s="32">
        <f>SUM(E4:E13)</f>
        <v>25820.969767929535</v>
      </c>
      <c r="F14" s="32">
        <f>SUM(F4:F13)</f>
        <v>80186.717098057532</v>
      </c>
      <c r="G14" s="61">
        <f>IF(ISERROR(F14/C14),"n/a",F14/C14)</f>
        <v>5.4393660727861476E-2</v>
      </c>
      <c r="K14" s="32">
        <f>SUM(K4:K13)</f>
        <v>74016.804517509328</v>
      </c>
      <c r="L14" s="32">
        <f>SUM(L4:L13)</f>
        <v>35154.224224307356</v>
      </c>
      <c r="M14" s="32">
        <f>SUM(M4:M13)</f>
        <v>109171.0287418167</v>
      </c>
      <c r="N14" s="61">
        <f>IF(ISERROR(M14/C14),"n/a",M14/C14)</f>
        <v>7.4054807499256511E-2</v>
      </c>
    </row>
    <row r="15" spans="1:15" x14ac:dyDescent="0.25">
      <c r="B15" s="13"/>
      <c r="C15" s="6"/>
      <c r="D15" s="32"/>
      <c r="E15" s="6"/>
      <c r="G15" s="61"/>
      <c r="M15" s="32"/>
      <c r="N15" s="61"/>
    </row>
    <row r="16" spans="1:15" x14ac:dyDescent="0.25">
      <c r="B16" s="13" t="s">
        <v>482</v>
      </c>
      <c r="C16" s="6">
        <f>'Table 3.26-REC Detail NonACS'!E45</f>
        <v>40655.113488192517</v>
      </c>
      <c r="D16" s="32">
        <f>'Table 3.26-REC Detail NonACS'!F45</f>
        <v>15964.2855940637</v>
      </c>
      <c r="E16" s="32">
        <f>'Table 3.27-REC Detail ACS'!F45</f>
        <v>0</v>
      </c>
      <c r="F16" s="81">
        <f>SUM(D16:E16)</f>
        <v>15964.2855940637</v>
      </c>
      <c r="G16" s="61">
        <f>IF(ISERROR(F16/C16),"n/a",F16/C16)</f>
        <v>0.39267595695435004</v>
      </c>
      <c r="I16" s="23">
        <v>1.3614602604109014</v>
      </c>
      <c r="K16" s="32">
        <f>D16*I16</f>
        <v>21734.740422167968</v>
      </c>
      <c r="L16" s="32">
        <f>E16*I16</f>
        <v>0</v>
      </c>
      <c r="M16" s="32">
        <f>SUM(K16:L16)</f>
        <v>21734.740422167968</v>
      </c>
      <c r="N16" s="61">
        <f>IF(ISERROR(M16/C16),"n/a",M16/C16)</f>
        <v>0.53461271061216931</v>
      </c>
    </row>
    <row r="17" spans="1:14" x14ac:dyDescent="0.25">
      <c r="B17" s="13"/>
      <c r="C17" s="6"/>
      <c r="D17" s="32"/>
      <c r="E17" s="6"/>
      <c r="G17" s="61"/>
      <c r="M17" s="32"/>
      <c r="N17" s="61"/>
    </row>
    <row r="18" spans="1:14" x14ac:dyDescent="0.25">
      <c r="B18" s="13" t="s">
        <v>429</v>
      </c>
      <c r="C18" s="6">
        <f>SUM(C14,C16)</f>
        <v>1514847.437098145</v>
      </c>
      <c r="D18" s="32">
        <f>SUM(D14,D16)</f>
        <v>70330.032924191706</v>
      </c>
      <c r="E18" s="32">
        <f>SUM(E14,E16)</f>
        <v>25820.969767929535</v>
      </c>
      <c r="F18" s="81">
        <f>SUM(D18:E18)</f>
        <v>96151.002692121241</v>
      </c>
      <c r="G18" s="61">
        <f>IF(ISERROR(F18/C18),"n/a",F18/C18)</f>
        <v>6.3472400148960842E-2</v>
      </c>
      <c r="K18" s="32">
        <f>SUM(K14,K16)</f>
        <v>95751.544939677289</v>
      </c>
      <c r="L18" s="32">
        <f>SUM(L14,L16)</f>
        <v>35154.224224307356</v>
      </c>
      <c r="M18" s="32">
        <f>SUM(K18:L18)</f>
        <v>130905.76916398465</v>
      </c>
      <c r="N18" s="61">
        <f>IF(ISERROR(M18/C18),"n/a",M18/C18)</f>
        <v>8.6415150435709145E-2</v>
      </c>
    </row>
    <row r="19" spans="1:14" hidden="1" x14ac:dyDescent="0.25">
      <c r="B19" s="13"/>
      <c r="C19" s="6"/>
      <c r="D19" s="6"/>
      <c r="E19" s="6"/>
      <c r="F19" s="32"/>
      <c r="G19" s="61"/>
      <c r="K19" s="167"/>
      <c r="L19" s="167"/>
      <c r="M19" s="32"/>
      <c r="N19" s="61"/>
    </row>
    <row r="20" spans="1:14" hidden="1" x14ac:dyDescent="0.25">
      <c r="B20" s="13" t="s">
        <v>191</v>
      </c>
      <c r="C20" s="105">
        <f>C18-'Table 3.26-REC Detail NonACS'!E47</f>
        <v>0</v>
      </c>
      <c r="D20" s="105">
        <f>D18-'Table 3.26-REC Detail NonACS'!F47</f>
        <v>0</v>
      </c>
      <c r="E20" s="105">
        <f>E18-'Table 3.27-REC Detail ACS'!F47</f>
        <v>0</v>
      </c>
      <c r="F20" s="167"/>
      <c r="G20" s="167"/>
      <c r="J20" s="13" t="s">
        <v>191</v>
      </c>
      <c r="K20" s="105">
        <f>K18-'Table 3.26-REC Detail NonACS'!K47</f>
        <v>0</v>
      </c>
      <c r="L20" s="105">
        <f>L18-'Table 3.27-REC Detail ACS'!K47</f>
        <v>0</v>
      </c>
      <c r="M20" s="167"/>
      <c r="N20" s="167"/>
    </row>
    <row r="21" spans="1:14" x14ac:dyDescent="0.25">
      <c r="A21" s="204"/>
      <c r="B21" s="213"/>
      <c r="C21" s="213"/>
      <c r="D21" s="28"/>
      <c r="E21" s="28"/>
    </row>
    <row r="22" spans="1:14" x14ac:dyDescent="0.25">
      <c r="A22" s="4" t="s">
        <v>235</v>
      </c>
      <c r="B22" s="28"/>
      <c r="C22" s="28"/>
      <c r="D22" s="28"/>
      <c r="E22" s="28"/>
    </row>
    <row r="23" spans="1:14" x14ac:dyDescent="0.25">
      <c r="A23" s="17" t="s">
        <v>658</v>
      </c>
      <c r="B23" s="28"/>
      <c r="C23" s="28"/>
      <c r="D23" s="28"/>
      <c r="E23" s="28"/>
    </row>
    <row r="24" spans="1:14" x14ac:dyDescent="0.25">
      <c r="A24" s="17" t="s">
        <v>36</v>
      </c>
      <c r="B24" s="28"/>
      <c r="C24" s="28"/>
      <c r="D24" s="28"/>
      <c r="E24" s="28"/>
    </row>
    <row r="25" spans="1:14" x14ac:dyDescent="0.25">
      <c r="A25" s="17" t="s">
        <v>808</v>
      </c>
    </row>
    <row r="26" spans="1:14" x14ac:dyDescent="0.25">
      <c r="A26" s="11" t="s">
        <v>25</v>
      </c>
    </row>
    <row r="27" spans="1:14" x14ac:dyDescent="0.25">
      <c r="A27" s="11" t="s">
        <v>42</v>
      </c>
    </row>
  </sheetData>
  <phoneticPr fontId="5" type="noConversion"/>
  <printOptions horizontalCentered="1"/>
  <pageMargins left="0.75" right="0.75" top="1" bottom="1" header="0.5" footer="0.5"/>
  <pageSetup scale="81" orientation="landscape" r:id="rId1"/>
  <headerFooter alignWithMargins="0">
    <oddFooter>&amp;L&amp;F</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4">
    <pageSetUpPr fitToPage="1"/>
  </sheetPr>
  <dimension ref="A1:M67"/>
  <sheetViews>
    <sheetView zoomScale="70" workbookViewId="0"/>
  </sheetViews>
  <sheetFormatPr defaultRowHeight="12.5" x14ac:dyDescent="0.25"/>
  <cols>
    <col min="1" max="1" width="27.08984375" customWidth="1"/>
    <col min="2" max="2" width="9.6328125" customWidth="1"/>
    <col min="3" max="3" width="25.6328125" customWidth="1"/>
    <col min="4" max="4" width="18.36328125" customWidth="1"/>
    <col min="5" max="7" width="11.6328125" customWidth="1"/>
    <col min="8" max="8" width="3.6328125" customWidth="1"/>
    <col min="9" max="9" width="11.6328125" customWidth="1"/>
    <col min="10" max="10" width="3.6328125" customWidth="1"/>
    <col min="11" max="12" width="11.6328125" customWidth="1"/>
  </cols>
  <sheetData>
    <row r="1" spans="1:13" ht="15.5" x14ac:dyDescent="0.35">
      <c r="A1" s="117" t="s">
        <v>673</v>
      </c>
      <c r="B1" s="117"/>
      <c r="C1" s="117"/>
      <c r="D1" s="117"/>
    </row>
    <row r="2" spans="1:13" ht="15.5" x14ac:dyDescent="0.35">
      <c r="A2" s="117" t="s">
        <v>787</v>
      </c>
      <c r="B2" s="335"/>
      <c r="C2" s="335"/>
      <c r="D2" s="335"/>
    </row>
    <row r="3" spans="1:13" ht="37.5" x14ac:dyDescent="0.25">
      <c r="A3" s="336" t="s">
        <v>396</v>
      </c>
      <c r="B3" s="337" t="s">
        <v>399</v>
      </c>
      <c r="C3" s="336" t="s">
        <v>397</v>
      </c>
      <c r="D3" s="336" t="s">
        <v>348</v>
      </c>
      <c r="E3" s="125" t="s">
        <v>432</v>
      </c>
      <c r="F3" s="138" t="s">
        <v>403</v>
      </c>
      <c r="G3" s="8" t="s">
        <v>104</v>
      </c>
      <c r="H3" s="8"/>
      <c r="I3" s="142" t="s">
        <v>404</v>
      </c>
      <c r="J3" s="65"/>
      <c r="K3" s="119" t="s">
        <v>415</v>
      </c>
      <c r="L3" s="31" t="s">
        <v>133</v>
      </c>
      <c r="M3" s="4"/>
    </row>
    <row r="4" spans="1:13" x14ac:dyDescent="0.25">
      <c r="A4" s="17" t="s">
        <v>410</v>
      </c>
      <c r="B4" t="s">
        <v>407</v>
      </c>
      <c r="C4" t="s">
        <v>398</v>
      </c>
      <c r="D4" t="s">
        <v>278</v>
      </c>
      <c r="E4" s="6">
        <f>'Table 3.28-REC Volume'!H4</f>
        <v>219465.59562694293</v>
      </c>
      <c r="F4" s="32">
        <v>17021.848750468071</v>
      </c>
      <c r="G4" s="61">
        <f>IF(ISERROR(F4/E4),"n/a",F4/E4)</f>
        <v>7.7560442682790887E-2</v>
      </c>
      <c r="I4" s="23">
        <v>1.3614602604109014</v>
      </c>
      <c r="K4" s="32">
        <f>F4*I4</f>
        <v>23174.570632487237</v>
      </c>
      <c r="L4" s="61">
        <f>IF(ISERROR(K4/E4),"n/a",K4/E4)</f>
        <v>0.10559546049249728</v>
      </c>
    </row>
    <row r="5" spans="1:13" x14ac:dyDescent="0.25">
      <c r="D5" t="s">
        <v>373</v>
      </c>
      <c r="E5" s="6">
        <f>'Table 3.28-REC Volume'!H5</f>
        <v>115970.42687873739</v>
      </c>
      <c r="F5" s="32">
        <v>8994.7176468271027</v>
      </c>
      <c r="G5" s="61">
        <f>IF(ISERROR(F5/E5),"n/a",F5/E5)</f>
        <v>7.7560442682790887E-2</v>
      </c>
      <c r="I5" s="23">
        <v>1.3614602604109014</v>
      </c>
      <c r="K5" s="32">
        <f>F5*I5</f>
        <v>12245.950629771758</v>
      </c>
      <c r="L5" s="61">
        <f>IF(ISERROR(K5/E5),"n/a",K5/E5)</f>
        <v>0.10559546049249728</v>
      </c>
    </row>
    <row r="6" spans="1:13" x14ac:dyDescent="0.25">
      <c r="D6" t="s">
        <v>279</v>
      </c>
      <c r="E6" s="6">
        <f>'Table 3.28-REC Volume'!H6</f>
        <v>5293.15104609845</v>
      </c>
      <c r="F6" s="32">
        <v>410.53913832227357</v>
      </c>
      <c r="G6" s="61">
        <f>IF(ISERROR(F6/E6),"n/a",F6/E6)</f>
        <v>7.7560442682790914E-2</v>
      </c>
      <c r="I6" s="23">
        <v>1.3614602604109014</v>
      </c>
      <c r="K6" s="32">
        <f>F6*I6</f>
        <v>558.93272216910964</v>
      </c>
      <c r="L6" s="61">
        <f>IF(ISERROR(K6/E6),"n/a",K6/E6)</f>
        <v>0.1055954604924973</v>
      </c>
    </row>
    <row r="7" spans="1:13" x14ac:dyDescent="0.25">
      <c r="E7" s="6"/>
    </row>
    <row r="8" spans="1:13" x14ac:dyDescent="0.25">
      <c r="B8" t="s">
        <v>476</v>
      </c>
      <c r="C8" t="s">
        <v>398</v>
      </c>
      <c r="D8" t="s">
        <v>278</v>
      </c>
      <c r="E8" s="6">
        <f>'Table 3.28-REC Volume'!H8</f>
        <v>47303.698805077503</v>
      </c>
      <c r="F8" s="32">
        <v>1834.4479099276089</v>
      </c>
      <c r="G8" s="61">
        <f>IF(ISERROR(F8/E8),"n/a",F8/E8)</f>
        <v>3.8780221341395443E-2</v>
      </c>
      <c r="I8" s="23">
        <v>1.3614602604109014</v>
      </c>
      <c r="K8" s="32">
        <f>F8*I8</f>
        <v>2497.527929160276</v>
      </c>
      <c r="L8" s="61">
        <f>IF(ISERROR(K8/E8),"n/a",K8/E8)</f>
        <v>5.2797730246248634E-2</v>
      </c>
    </row>
    <row r="9" spans="1:13" x14ac:dyDescent="0.25">
      <c r="D9" t="s">
        <v>373</v>
      </c>
      <c r="E9" s="6">
        <f>'Table 3.28-REC Volume'!H9</f>
        <v>2646.5225680649783</v>
      </c>
      <c r="F9" s="32">
        <v>102.63273097455816</v>
      </c>
      <c r="G9" s="61">
        <f>IF(ISERROR(F9/E9),"n/a",F9/E9)</f>
        <v>3.878022134139545E-2</v>
      </c>
      <c r="I9" s="23">
        <v>1.3614602604109014</v>
      </c>
      <c r="K9" s="32">
        <f>F9*I9</f>
        <v>139.73038463930394</v>
      </c>
      <c r="L9" s="61">
        <f>IF(ISERROR(K9/E9),"n/a",K9/E9)</f>
        <v>5.2797730246248641E-2</v>
      </c>
    </row>
    <row r="10" spans="1:13" x14ac:dyDescent="0.25">
      <c r="D10" t="s">
        <v>279</v>
      </c>
      <c r="E10" s="6">
        <f>'Table 3.28-REC Volume'!H10</f>
        <v>60627.496489357502</v>
      </c>
      <c r="F10" s="32">
        <v>2351.1477332319596</v>
      </c>
      <c r="G10" s="61">
        <f>IF(ISERROR(F10/E10),"n/a",F10/E10)</f>
        <v>3.878022134139545E-2</v>
      </c>
      <c r="I10" s="23">
        <v>1.3614602604109014</v>
      </c>
      <c r="K10" s="32">
        <f>F10*I10</f>
        <v>3200.994205150484</v>
      </c>
      <c r="L10" s="61">
        <f>IF(ISERROR(K10/E10),"n/a",K10/E10)</f>
        <v>5.2797730246248648E-2</v>
      </c>
    </row>
    <row r="11" spans="1:13" x14ac:dyDescent="0.25">
      <c r="E11" s="6"/>
    </row>
    <row r="12" spans="1:13" x14ac:dyDescent="0.25">
      <c r="B12" t="s">
        <v>407</v>
      </c>
      <c r="C12" s="11" t="s">
        <v>48</v>
      </c>
      <c r="D12" t="s">
        <v>373</v>
      </c>
      <c r="E12" s="6">
        <f>'Table 3.28-REC Volume'!H12</f>
        <v>12101.203077990072</v>
      </c>
      <c r="F12" s="32">
        <v>938.57466772326165</v>
      </c>
      <c r="G12" s="61">
        <f>IF(ISERROR(F12/E12),"n/a",F12/E12)</f>
        <v>7.7560442682790887E-2</v>
      </c>
      <c r="I12" s="23">
        <v>1.3614602604109014</v>
      </c>
      <c r="K12" s="32">
        <f>F12*I12</f>
        <v>1277.8321115335871</v>
      </c>
      <c r="L12" s="61">
        <f>IF(ISERROR(K12/E12),"n/a",K12/E12)</f>
        <v>0.10559546049249727</v>
      </c>
    </row>
    <row r="13" spans="1:13" x14ac:dyDescent="0.25">
      <c r="C13" s="11" t="s">
        <v>655</v>
      </c>
      <c r="D13" t="s">
        <v>279</v>
      </c>
      <c r="E13" s="6">
        <f>'Table 3.28-REC Volume'!H13</f>
        <v>265483.95954011485</v>
      </c>
      <c r="F13" s="32">
        <v>20591.053427111456</v>
      </c>
      <c r="G13" s="61">
        <f>IF(ISERROR(F13/E13),"n/a",F13/E13)</f>
        <v>7.75604426827909E-2</v>
      </c>
      <c r="I13" s="23">
        <v>1.3614602604109014</v>
      </c>
      <c r="K13" s="32">
        <f>F13*I13</f>
        <v>28033.900961009946</v>
      </c>
      <c r="L13" s="61">
        <f>IF(ISERROR(K13/E13),"n/a",K13/E13)</f>
        <v>0.10559546049249728</v>
      </c>
    </row>
    <row r="14" spans="1:13" x14ac:dyDescent="0.25">
      <c r="E14" s="6"/>
    </row>
    <row r="15" spans="1:13" x14ac:dyDescent="0.25">
      <c r="B15" t="s">
        <v>400</v>
      </c>
      <c r="C15" s="11" t="s">
        <v>48</v>
      </c>
      <c r="D15" t="s">
        <v>373</v>
      </c>
      <c r="E15" s="6">
        <f>'Table 3.28-REC Volume'!H15</f>
        <v>2377.8277993887255</v>
      </c>
      <c r="F15" s="32">
        <v>92.212688372018022</v>
      </c>
      <c r="G15" s="61">
        <f>IF(ISERROR(F15/E15),"n/a",F15/E15)</f>
        <v>3.8780221341395443E-2</v>
      </c>
      <c r="I15" s="23">
        <v>1.3614602604109014</v>
      </c>
      <c r="K15" s="32">
        <f>F15*I15</f>
        <v>125.54391072415696</v>
      </c>
      <c r="L15" s="61">
        <f>IF(ISERROR(K15/E15),"n/a",K15/E15)</f>
        <v>5.2797730246248641E-2</v>
      </c>
    </row>
    <row r="16" spans="1:13" x14ac:dyDescent="0.25">
      <c r="B16" s="204"/>
      <c r="C16" s="238" t="s">
        <v>48</v>
      </c>
      <c r="D16" s="204" t="s">
        <v>279</v>
      </c>
      <c r="E16" s="10">
        <f>'Table 3.28-REC Volume'!H16</f>
        <v>12056.914891341487</v>
      </c>
      <c r="F16" s="131">
        <v>467.56982818058964</v>
      </c>
      <c r="G16" s="129">
        <f>IF(ISERROR(F16/E16),"n/a",F16/E16)</f>
        <v>3.8780221341395443E-2</v>
      </c>
      <c r="H16" s="204"/>
      <c r="I16" s="338">
        <v>1.3614602604109014</v>
      </c>
      <c r="J16" s="204"/>
      <c r="K16" s="131">
        <f>F16*I16</f>
        <v>636.57774003502595</v>
      </c>
      <c r="L16" s="129">
        <f>IF(ISERROR(K16/E16),"n/a",K16/E16)</f>
        <v>5.2797730246248634E-2</v>
      </c>
    </row>
    <row r="17" spans="1:12" x14ac:dyDescent="0.25">
      <c r="D17" s="339" t="s">
        <v>406</v>
      </c>
      <c r="E17" s="6">
        <f>SUM(E4:E16)</f>
        <v>743326.79672311386</v>
      </c>
      <c r="F17" s="32">
        <f>SUM(F4:F16)</f>
        <v>52804.744521138899</v>
      </c>
      <c r="G17" s="61">
        <f>IF(ISERROR(F17/E17),"n/a",F17/E17)</f>
        <v>7.103839758491641E-2</v>
      </c>
      <c r="K17" s="32">
        <f>SUM(K4:K16)</f>
        <v>71891.561226680889</v>
      </c>
      <c r="L17" s="61">
        <f>IF(ISERROR(K17/E17),"n/a",K17/E17)</f>
        <v>9.671595527513345E-2</v>
      </c>
    </row>
    <row r="18" spans="1:12" ht="5.15" customHeight="1" x14ac:dyDescent="0.25"/>
    <row r="19" spans="1:12" x14ac:dyDescent="0.25">
      <c r="A19" s="17" t="s">
        <v>411</v>
      </c>
      <c r="B19" t="s">
        <v>407</v>
      </c>
      <c r="C19" t="s">
        <v>398</v>
      </c>
      <c r="D19" t="s">
        <v>278</v>
      </c>
      <c r="E19" s="6">
        <f>'Table 3.28-REC Volume'!H19</f>
        <v>14823.553388837394</v>
      </c>
      <c r="F19" s="32">
        <v>1149.7213629702135</v>
      </c>
      <c r="G19" s="61">
        <f>IF(ISERROR(F19/E19),"n/a",F19/E19)</f>
        <v>7.75604426827909E-2</v>
      </c>
      <c r="I19" s="23">
        <v>1.3614602604109014</v>
      </c>
      <c r="K19" s="32">
        <f>F19*I19</f>
        <v>1565.2999462294033</v>
      </c>
      <c r="L19" s="61">
        <f>IF(ISERROR(K19/E19),"n/a",K19/E19)</f>
        <v>0.10559546049249728</v>
      </c>
    </row>
    <row r="20" spans="1:12" x14ac:dyDescent="0.25">
      <c r="D20" t="s">
        <v>373</v>
      </c>
      <c r="E20" s="6">
        <f>'Table 3.28-REC Volume'!H20</f>
        <v>7833.0902365463071</v>
      </c>
      <c r="F20" s="32">
        <v>607.5379463207787</v>
      </c>
      <c r="G20" s="61">
        <f>IF(ISERROR(F20/E20),"n/a",F20/E20)</f>
        <v>7.7560442682790873E-2</v>
      </c>
      <c r="I20" s="23">
        <v>1.3614602604109014</v>
      </c>
      <c r="K20" s="32">
        <f>F20*I20</f>
        <v>827.13877060739162</v>
      </c>
      <c r="L20" s="61">
        <f>IF(ISERROR(K20/E20),"n/a",K20/E20)</f>
        <v>0.10559546049249727</v>
      </c>
    </row>
    <row r="21" spans="1:12" x14ac:dyDescent="0.25">
      <c r="D21" t="s">
        <v>279</v>
      </c>
      <c r="E21" s="6">
        <f>'Table 3.28-REC Volume'!H21</f>
        <v>357.51985135928163</v>
      </c>
      <c r="F21" s="32">
        <v>27.729397939311486</v>
      </c>
      <c r="G21" s="61">
        <f>IF(ISERROR(F21/E21),"n/a",F21/E21)</f>
        <v>7.75604426827909E-2</v>
      </c>
      <c r="I21" s="23">
        <v>1.3614602604109014</v>
      </c>
      <c r="K21" s="32">
        <f>F21*I21</f>
        <v>37.752473339492525</v>
      </c>
      <c r="L21" s="61">
        <f>IF(ISERROR(K21/E21),"n/a",K21/E21)</f>
        <v>0.10559546049249728</v>
      </c>
    </row>
    <row r="22" spans="1:12" x14ac:dyDescent="0.25">
      <c r="E22" s="6"/>
    </row>
    <row r="23" spans="1:12" x14ac:dyDescent="0.25">
      <c r="B23" t="s">
        <v>476</v>
      </c>
      <c r="C23" t="s">
        <v>398</v>
      </c>
      <c r="D23" t="s">
        <v>278</v>
      </c>
      <c r="E23" s="6">
        <f>'Table 3.28-REC Volume'!H23</f>
        <v>3195.0743929745367</v>
      </c>
      <c r="F23" s="32">
        <v>123.90569216177722</v>
      </c>
      <c r="G23" s="61">
        <f>IF(ISERROR(F23/E23),"n/a",F23/E23)</f>
        <v>3.8780221341395443E-2</v>
      </c>
      <c r="I23" s="23">
        <v>1.3614602604109014</v>
      </c>
      <c r="K23" s="32">
        <f>F23*I23</f>
        <v>168.69267591696621</v>
      </c>
      <c r="L23" s="61">
        <f>IF(ISERROR(K23/E23),"n/a",K23/E23)</f>
        <v>5.2797730246248641E-2</v>
      </c>
    </row>
    <row r="24" spans="1:12" x14ac:dyDescent="0.25">
      <c r="D24" t="s">
        <v>373</v>
      </c>
      <c r="E24" s="6">
        <f>'Table 3.28-REC Volume'!H24</f>
        <v>178.75634889561715</v>
      </c>
      <c r="F24" s="32">
        <v>6.9322107763517433</v>
      </c>
      <c r="G24" s="61">
        <f>IF(ISERROR(F24/E24),"n/a",F24/E24)</f>
        <v>3.878022134139545E-2</v>
      </c>
      <c r="I24" s="23">
        <v>1.3614602604109014</v>
      </c>
      <c r="K24" s="32">
        <f>F24*I24</f>
        <v>9.4379294887951009</v>
      </c>
      <c r="L24" s="61">
        <f>IF(ISERROR(K24/E24),"n/a",K24/E24)</f>
        <v>5.2797730246248641E-2</v>
      </c>
    </row>
    <row r="25" spans="1:12" x14ac:dyDescent="0.25">
      <c r="D25" t="s">
        <v>279</v>
      </c>
      <c r="E25" s="6">
        <f>'Table 3.28-REC Volume'!H25</f>
        <v>4095.0151137548523</v>
      </c>
      <c r="F25" s="32">
        <v>158.80559250777284</v>
      </c>
      <c r="G25" s="61">
        <f>IF(ISERROR(F25/E25),"n/a",F25/E25)</f>
        <v>3.878022134139545E-2</v>
      </c>
      <c r="I25" s="23">
        <v>1.3614602604109014</v>
      </c>
      <c r="K25" s="32">
        <f>F25*I25</f>
        <v>216.2075033303399</v>
      </c>
      <c r="L25" s="61">
        <f>IF(ISERROR(K25/E25),"n/a",K25/E25)</f>
        <v>5.2797730246248648E-2</v>
      </c>
    </row>
    <row r="26" spans="1:12" x14ac:dyDescent="0.25">
      <c r="E26" s="6"/>
    </row>
    <row r="27" spans="1:12" x14ac:dyDescent="0.25">
      <c r="B27" t="s">
        <v>407</v>
      </c>
      <c r="C27" s="11" t="s">
        <v>48</v>
      </c>
      <c r="D27" s="11" t="s">
        <v>433</v>
      </c>
      <c r="E27" s="6">
        <f>'Table 3.28-REC Volume'!H27</f>
        <v>817.36196228529514</v>
      </c>
      <c r="F27" s="32">
        <v>-1136.5077902213845</v>
      </c>
      <c r="G27" s="61">
        <f>IF(ISERROR(F27/E27),"n/a",F27/E27)</f>
        <v>-1.3904583803285595</v>
      </c>
      <c r="I27" s="23">
        <v>1.3614602604109014</v>
      </c>
      <c r="K27" s="32">
        <f>F27*I27</f>
        <v>-1547.3101920338243</v>
      </c>
      <c r="L27" s="61">
        <f>IF(ISERROR(K27/E27),"n/a",K27/E27)</f>
        <v>-1.8930538285726406</v>
      </c>
    </row>
    <row r="28" spans="1:12" x14ac:dyDescent="0.25">
      <c r="C28" s="11" t="s">
        <v>655</v>
      </c>
      <c r="D28" t="s">
        <v>279</v>
      </c>
      <c r="E28" s="6">
        <f>'Table 3.28-REC Volume'!H28</f>
        <v>0</v>
      </c>
      <c r="F28" s="32">
        <v>0</v>
      </c>
      <c r="G28" s="61" t="str">
        <f>IF(ISERROR(F28/E28),"n/a",F28/E28)</f>
        <v>n/a</v>
      </c>
      <c r="I28" s="23">
        <v>1.3614602604109014</v>
      </c>
      <c r="K28" s="32">
        <f>F28*I28</f>
        <v>0</v>
      </c>
      <c r="L28" s="61" t="str">
        <f>IF(ISERROR(K28/E28),"n/a",K28/E28)</f>
        <v>n/a</v>
      </c>
    </row>
    <row r="29" spans="1:12" x14ac:dyDescent="0.25">
      <c r="E29" s="6"/>
    </row>
    <row r="30" spans="1:12" x14ac:dyDescent="0.25">
      <c r="B30" t="s">
        <v>400</v>
      </c>
      <c r="C30" s="11" t="s">
        <v>48</v>
      </c>
      <c r="D30" t="s">
        <v>373</v>
      </c>
      <c r="E30" s="6">
        <f>'Table 3.28-REC Volume'!H30</f>
        <v>160.60766715169476</v>
      </c>
      <c r="F30" s="32">
        <v>6.2284008812678904</v>
      </c>
      <c r="G30" s="61">
        <f>IF(ISERROR(F30/E30),"n/a",F30/E30)</f>
        <v>3.878022134139545E-2</v>
      </c>
      <c r="I30" s="23">
        <v>1.3614602604109014</v>
      </c>
      <c r="K30" s="32">
        <f>F30*I30</f>
        <v>8.4797202857544693</v>
      </c>
      <c r="L30" s="61">
        <f>IF(ISERROR(K30/E30),"n/a",K30/E30)</f>
        <v>5.2797730246248648E-2</v>
      </c>
    </row>
    <row r="31" spans="1:12" x14ac:dyDescent="0.25">
      <c r="B31" s="204"/>
      <c r="C31" s="238" t="s">
        <v>48</v>
      </c>
      <c r="D31" s="204" t="s">
        <v>279</v>
      </c>
      <c r="E31" s="10">
        <f>'Table 3.28-REC Volume'!H31</f>
        <v>814.37056722218881</v>
      </c>
      <c r="F31" s="131">
        <v>31.58147085079424</v>
      </c>
      <c r="G31" s="129">
        <f>IF(ISERROR(F31/E31),"n/a",F31/E31)</f>
        <v>3.8780221341395443E-2</v>
      </c>
      <c r="H31" s="204"/>
      <c r="I31" s="338">
        <v>1.3614602604109014</v>
      </c>
      <c r="J31" s="204"/>
      <c r="K31" s="131">
        <f>F31*I31</f>
        <v>42.996917528681621</v>
      </c>
      <c r="L31" s="129">
        <f>IF(ISERROR(K31/E31),"n/a",K31/E31)</f>
        <v>5.2797730246248641E-2</v>
      </c>
    </row>
    <row r="32" spans="1:12" x14ac:dyDescent="0.25">
      <c r="D32" s="339" t="s">
        <v>405</v>
      </c>
      <c r="E32" s="6">
        <f>SUM(E19:E31)</f>
        <v>32275.349529027168</v>
      </c>
      <c r="F32" s="32">
        <f>SUM(F19:F31)</f>
        <v>975.93428418688313</v>
      </c>
      <c r="G32" s="61">
        <f>IF(ISERROR(F32/E32),"n/a",F32/E32)</f>
        <v>3.0237760347387302E-2</v>
      </c>
      <c r="K32" s="32">
        <f>SUM(K19:K31)</f>
        <v>1328.6957446930001</v>
      </c>
      <c r="L32" s="61">
        <f>IF(ISERROR(K32/E32),"n/a",K32/E32)</f>
        <v>4.1167509076796331E-2</v>
      </c>
    </row>
    <row r="33" spans="1:12" ht="5.15" customHeight="1" x14ac:dyDescent="0.25"/>
    <row r="34" spans="1:12" x14ac:dyDescent="0.25">
      <c r="A34" s="17" t="s">
        <v>412</v>
      </c>
      <c r="B34" t="s">
        <v>407</v>
      </c>
      <c r="C34" s="11" t="s">
        <v>409</v>
      </c>
      <c r="D34" s="11" t="s">
        <v>433</v>
      </c>
      <c r="E34" s="6">
        <f>'Table 3.28-REC Volume'!H34</f>
        <v>478302.7010437994</v>
      </c>
      <c r="F34" s="32">
        <v>-7957.7285653925837</v>
      </c>
      <c r="G34" s="61">
        <f>IF(ISERROR(F34/E34),"n/a",F34/E34)</f>
        <v>-1.6637431793770852E-2</v>
      </c>
      <c r="I34" s="23">
        <v>1.3614602604109014</v>
      </c>
      <c r="K34" s="32">
        <f>F34*I34</f>
        <v>-10834.131204918656</v>
      </c>
      <c r="L34" s="61">
        <f>IF(ISERROR(K34/E34),"n/a",K34/E34)</f>
        <v>-2.2651202222515876E-2</v>
      </c>
    </row>
    <row r="35" spans="1:12" x14ac:dyDescent="0.25">
      <c r="E35" s="6"/>
    </row>
    <row r="36" spans="1:12" x14ac:dyDescent="0.25">
      <c r="B36" t="s">
        <v>400</v>
      </c>
      <c r="C36" t="s">
        <v>409</v>
      </c>
      <c r="D36" t="s">
        <v>373</v>
      </c>
      <c r="E36" s="6">
        <f>'Table 3.28-REC Volume'!H36</f>
        <v>57937.710398775234</v>
      </c>
      <c r="F36" s="32">
        <v>2246.8372332781719</v>
      </c>
      <c r="G36" s="61">
        <f>IF(ISERROR(F36/E36),"n/a",F36/E36)</f>
        <v>3.8780221341395443E-2</v>
      </c>
      <c r="I36" s="23">
        <v>1.3614602604109014</v>
      </c>
      <c r="K36" s="32">
        <f>F36*I36</f>
        <v>3058.9796047198092</v>
      </c>
      <c r="L36" s="61">
        <f>IF(ISERROR(K36/E36),"n/a",K36/E36)</f>
        <v>5.2797730246248634E-2</v>
      </c>
    </row>
    <row r="37" spans="1:12" x14ac:dyDescent="0.25">
      <c r="B37" s="204"/>
      <c r="C37" s="204"/>
      <c r="D37" s="204" t="s">
        <v>279</v>
      </c>
      <c r="E37" s="10">
        <f>'Table 3.28-REC Volume'!H37</f>
        <v>162349.76591523708</v>
      </c>
      <c r="F37" s="131">
        <v>6295.9598569166328</v>
      </c>
      <c r="G37" s="129">
        <f>IF(ISERROR(F37/E37),"n/a",F37/E37)</f>
        <v>3.878022134139545E-2</v>
      </c>
      <c r="H37" s="204"/>
      <c r="I37" s="338">
        <v>1.3614602604109014</v>
      </c>
      <c r="J37" s="204"/>
      <c r="K37" s="131">
        <f>F37*I37</f>
        <v>8571.6991463343002</v>
      </c>
      <c r="L37" s="129">
        <f>IF(ISERROR(K37/E37),"n/a",K37/E37)</f>
        <v>5.2797730246248648E-2</v>
      </c>
    </row>
    <row r="38" spans="1:12" x14ac:dyDescent="0.25">
      <c r="D38" s="339" t="s">
        <v>413</v>
      </c>
      <c r="E38" s="6">
        <f>SUM(E34:E37)</f>
        <v>698590.17735781171</v>
      </c>
      <c r="F38" s="32">
        <f>SUM(F34:F37)</f>
        <v>585.06852480222096</v>
      </c>
      <c r="G38" s="61">
        <f>IF(ISERROR(F38/E38),"n/a",F38/E38)</f>
        <v>8.3749892822004856E-4</v>
      </c>
      <c r="K38" s="32">
        <f>SUM(K34:K37)</f>
        <v>796.54754613545265</v>
      </c>
      <c r="L38" s="61">
        <f>IF(ISERROR(K38/E38),"n/a",K38/E38)</f>
        <v>1.1402215089083166E-3</v>
      </c>
    </row>
    <row r="39" spans="1:12" ht="5.15" customHeight="1" x14ac:dyDescent="0.25">
      <c r="D39" s="339"/>
      <c r="E39" s="6"/>
      <c r="F39" s="6"/>
      <c r="G39" s="61"/>
      <c r="K39" s="32"/>
      <c r="L39" s="61"/>
    </row>
    <row r="40" spans="1:12" x14ac:dyDescent="0.25">
      <c r="D40" s="339" t="s">
        <v>428</v>
      </c>
      <c r="E40" s="6">
        <f>SUM(E17,E32,E38)</f>
        <v>1474192.3236099528</v>
      </c>
      <c r="F40" s="32">
        <f>SUM(F17,F32,F38)</f>
        <v>54365.747330128004</v>
      </c>
      <c r="G40" s="61">
        <f>IF(ISERROR(F40/E40),"n/a",F40/E40)</f>
        <v>3.6878327514960181E-2</v>
      </c>
      <c r="K40" s="32">
        <f>SUM(K17,K32,K38)</f>
        <v>74016.804517509343</v>
      </c>
      <c r="L40" s="61">
        <f>IF(ISERROR(K40/E40),"n/a",K40/E40)</f>
        <v>5.02083773820362E-2</v>
      </c>
    </row>
    <row r="41" spans="1:12" ht="5.15" customHeight="1" x14ac:dyDescent="0.25">
      <c r="D41" s="339"/>
      <c r="E41" s="28"/>
      <c r="K41" s="341"/>
      <c r="L41" s="342"/>
    </row>
    <row r="42" spans="1:12" x14ac:dyDescent="0.25">
      <c r="D42" s="11" t="s">
        <v>418</v>
      </c>
      <c r="E42" s="28"/>
    </row>
    <row r="43" spans="1:12" x14ac:dyDescent="0.25">
      <c r="D43" s="13" t="s">
        <v>425</v>
      </c>
      <c r="E43" s="24">
        <f>'Table 3.28-REC Volume'!H43</f>
        <v>29365.315999999999</v>
      </c>
      <c r="F43" s="32">
        <v>11531.053561566885</v>
      </c>
      <c r="G43" s="61">
        <f>IF(ISERROR(F43/E43),"n/a",F43/E43)</f>
        <v>0.39267595695434998</v>
      </c>
      <c r="I43" s="23">
        <v>1.3614602604109014</v>
      </c>
      <c r="K43" s="32">
        <f>F43*I43</f>
        <v>15699.071184742903</v>
      </c>
      <c r="L43" s="61">
        <f>IF(ISERROR(K43/E43),"n/a",K43/E43)</f>
        <v>0.53461271061216931</v>
      </c>
    </row>
    <row r="44" spans="1:12" x14ac:dyDescent="0.25">
      <c r="D44" s="343" t="s">
        <v>426</v>
      </c>
      <c r="E44" s="203">
        <f>'Table 3.28-REC Volume'!H44</f>
        <v>11289.797488192518</v>
      </c>
      <c r="F44" s="131">
        <v>4433.232032496815</v>
      </c>
      <c r="G44" s="129">
        <f>IF(ISERROR(F44/E44),"n/a",F44/E44)</f>
        <v>0.39267595695435009</v>
      </c>
      <c r="H44" s="204"/>
      <c r="I44" s="338">
        <v>1.3614602604109014</v>
      </c>
      <c r="J44" s="204"/>
      <c r="K44" s="131">
        <f>F44*I44</f>
        <v>6035.6692374250633</v>
      </c>
      <c r="L44" s="129">
        <f>IF(ISERROR(K44/E44),"n/a",K44/E44)</f>
        <v>0.53461271061216931</v>
      </c>
    </row>
    <row r="45" spans="1:12" x14ac:dyDescent="0.25">
      <c r="D45" s="339" t="s">
        <v>427</v>
      </c>
      <c r="E45" s="6">
        <f>SUM(E43:E44)</f>
        <v>40655.113488192517</v>
      </c>
      <c r="F45" s="32">
        <f>SUM(F43:F44)</f>
        <v>15964.2855940637</v>
      </c>
      <c r="G45" s="61">
        <f>IF(ISERROR(F45/E45),"n/a",F45/E45)</f>
        <v>0.39267595695435004</v>
      </c>
      <c r="K45" s="32">
        <f>SUM(K43:K44)</f>
        <v>21734.740422167968</v>
      </c>
      <c r="L45" s="61">
        <f>IF(ISERROR(K45/E45),"n/a",K45/E45)</f>
        <v>0.53461271061216931</v>
      </c>
    </row>
    <row r="46" spans="1:12" ht="5.15" customHeight="1" x14ac:dyDescent="0.25">
      <c r="D46" s="339"/>
    </row>
    <row r="47" spans="1:12" ht="13" x14ac:dyDescent="0.3">
      <c r="D47" s="97" t="s">
        <v>429</v>
      </c>
      <c r="E47" s="6">
        <f>SUM(E40,E45)</f>
        <v>1514847.4370981453</v>
      </c>
      <c r="F47" s="32">
        <f>SUM(F40,F45)</f>
        <v>70330.032924191706</v>
      </c>
      <c r="G47" s="61">
        <f>IF(ISERROR(F47/E47),"n/a",F47/E47)</f>
        <v>4.6427139262892721E-2</v>
      </c>
      <c r="K47" s="32">
        <f>SUM(K40,K45)</f>
        <v>95751.544939677318</v>
      </c>
      <c r="L47" s="61">
        <f>IF(ISERROR(K47/E47),"n/a",K47/E47)</f>
        <v>6.3208705110991109E-2</v>
      </c>
    </row>
    <row r="48" spans="1:12" x14ac:dyDescent="0.25">
      <c r="D48" s="339"/>
      <c r="E48" s="6"/>
      <c r="F48" s="32"/>
      <c r="G48" s="61"/>
      <c r="K48" s="32"/>
      <c r="L48" s="61"/>
    </row>
    <row r="49" spans="1:12" x14ac:dyDescent="0.25">
      <c r="D49" s="263" t="s">
        <v>476</v>
      </c>
      <c r="E49" s="265">
        <f>SUM(E8:E10,E23:E25)</f>
        <v>118046.56371812501</v>
      </c>
      <c r="F49" s="352">
        <f>SUM(F8:F10,F23:F25)</f>
        <v>4577.8718695800289</v>
      </c>
      <c r="G49" s="353">
        <f>IF(ISERROR(F49/E49),"n/a",F49/E49)</f>
        <v>3.878022134139545E-2</v>
      </c>
      <c r="H49" s="264"/>
      <c r="I49" s="354">
        <v>1.3614602604109014</v>
      </c>
      <c r="J49" s="264"/>
      <c r="K49" s="352">
        <f>F49*I49</f>
        <v>6232.590627686166</v>
      </c>
      <c r="L49" s="355">
        <f>IF(ISERROR(K49/E49),"n/a",K49/E49)</f>
        <v>5.2797730246248641E-2</v>
      </c>
    </row>
    <row r="50" spans="1:12" x14ac:dyDescent="0.25">
      <c r="D50" s="356" t="s">
        <v>400</v>
      </c>
      <c r="E50" s="10">
        <f>SUM(E15:E16,E30:E31,E36:E37)</f>
        <v>235697.19723911642</v>
      </c>
      <c r="F50" s="131">
        <f>SUM(F15:F16,F30:F31,F36:F37)</f>
        <v>9140.3894784794757</v>
      </c>
      <c r="G50" s="129">
        <f>IF(ISERROR(F50/E50),"n/a",F50/E50)</f>
        <v>3.878022134139545E-2</v>
      </c>
      <c r="H50" s="204"/>
      <c r="I50" s="338">
        <v>1.3614602604109014</v>
      </c>
      <c r="J50" s="204"/>
      <c r="K50" s="131">
        <f>F50*I50</f>
        <v>12444.27703962773</v>
      </c>
      <c r="L50" s="357">
        <f>IF(ISERROR(K50/E50),"n/a",K50/E50)</f>
        <v>5.2797730246248648E-2</v>
      </c>
    </row>
    <row r="51" spans="1:12" hidden="1" x14ac:dyDescent="0.25">
      <c r="A51" s="17"/>
    </row>
    <row r="52" spans="1:12" hidden="1" x14ac:dyDescent="0.25">
      <c r="A52" s="17"/>
      <c r="D52" s="13" t="s">
        <v>191</v>
      </c>
      <c r="E52" s="105">
        <f>E17-'Table 3.28-REC Volume'!H17</f>
        <v>0</v>
      </c>
      <c r="F52" s="105">
        <v>0</v>
      </c>
      <c r="J52" s="13" t="s">
        <v>191</v>
      </c>
      <c r="K52" s="105">
        <f>K47/F47-I44</f>
        <v>0</v>
      </c>
      <c r="L52" s="105">
        <f>L47/G47-I44</f>
        <v>0</v>
      </c>
    </row>
    <row r="53" spans="1:12" hidden="1" x14ac:dyDescent="0.25">
      <c r="A53" s="17"/>
      <c r="E53" s="105">
        <f>E32-'Table 3.28-REC Volume'!H32</f>
        <v>0</v>
      </c>
      <c r="F53" s="105">
        <v>0</v>
      </c>
    </row>
    <row r="54" spans="1:12" hidden="1" x14ac:dyDescent="0.25">
      <c r="E54" s="105">
        <f>E38-'Table 3.28-REC Volume'!H38</f>
        <v>0</v>
      </c>
      <c r="F54" s="105">
        <v>0</v>
      </c>
    </row>
    <row r="55" spans="1:12" hidden="1" x14ac:dyDescent="0.25">
      <c r="E55" s="105">
        <f>E45-'Table 3.28-REC Volume'!H45</f>
        <v>0</v>
      </c>
      <c r="F55" s="105">
        <v>0</v>
      </c>
    </row>
    <row r="56" spans="1:12" hidden="1" x14ac:dyDescent="0.25">
      <c r="E56" s="105">
        <f>E47-'Table 3.28-REC Volume'!H47</f>
        <v>0</v>
      </c>
      <c r="F56" s="167"/>
    </row>
    <row r="57" spans="1:12" x14ac:dyDescent="0.25">
      <c r="A57" s="103"/>
      <c r="B57" s="204"/>
      <c r="C57" s="213"/>
    </row>
    <row r="58" spans="1:12" x14ac:dyDescent="0.25">
      <c r="A58" s="4" t="s">
        <v>235</v>
      </c>
      <c r="C58" s="28"/>
    </row>
    <row r="59" spans="1:12" x14ac:dyDescent="0.25">
      <c r="A59" s="11" t="s">
        <v>699</v>
      </c>
      <c r="C59" s="28"/>
    </row>
    <row r="60" spans="1:12" x14ac:dyDescent="0.25">
      <c r="A60" s="17" t="s">
        <v>810</v>
      </c>
    </row>
    <row r="61" spans="1:12" x14ac:dyDescent="0.25">
      <c r="A61" s="17" t="s">
        <v>808</v>
      </c>
    </row>
    <row r="62" spans="1:12" x14ac:dyDescent="0.25">
      <c r="A62" s="2" t="s">
        <v>414</v>
      </c>
    </row>
    <row r="63" spans="1:12" x14ac:dyDescent="0.25">
      <c r="A63" s="17" t="s">
        <v>7</v>
      </c>
    </row>
    <row r="64" spans="1:12" x14ac:dyDescent="0.25">
      <c r="A64" s="17" t="s">
        <v>656</v>
      </c>
    </row>
    <row r="65" spans="1:1" x14ac:dyDescent="0.25">
      <c r="A65" s="17" t="s">
        <v>8</v>
      </c>
    </row>
    <row r="66" spans="1:1" x14ac:dyDescent="0.25">
      <c r="A66" s="17" t="s">
        <v>657</v>
      </c>
    </row>
    <row r="67" spans="1:1" x14ac:dyDescent="0.25">
      <c r="A67" s="11" t="s">
        <v>24</v>
      </c>
    </row>
  </sheetData>
  <phoneticPr fontId="5" type="noConversion"/>
  <printOptions horizontalCentered="1"/>
  <pageMargins left="0.75" right="0.75" top="1" bottom="1" header="0.5" footer="0.5"/>
  <pageSetup scale="62" orientation="landscape" r:id="rId1"/>
  <headerFooter alignWithMargins="0">
    <oddFooter>&amp;L&amp;F</oddFooter>
  </headerFooter>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6">
    <pageSetUpPr fitToPage="1"/>
  </sheetPr>
  <dimension ref="A1:M67"/>
  <sheetViews>
    <sheetView zoomScale="70" workbookViewId="0"/>
  </sheetViews>
  <sheetFormatPr defaultRowHeight="12.5" x14ac:dyDescent="0.25"/>
  <cols>
    <col min="1" max="1" width="27.08984375" customWidth="1"/>
    <col min="2" max="2" width="9.6328125" customWidth="1"/>
    <col min="3" max="3" width="25.6328125" customWidth="1"/>
    <col min="4" max="4" width="18.36328125" customWidth="1"/>
    <col min="5" max="7" width="11.6328125" customWidth="1"/>
    <col min="8" max="8" width="3.6328125" customWidth="1"/>
    <col min="9" max="9" width="11.6328125" customWidth="1"/>
    <col min="10" max="10" width="3.6328125" customWidth="1"/>
    <col min="11" max="12" width="11.6328125" customWidth="1"/>
  </cols>
  <sheetData>
    <row r="1" spans="1:13" ht="15.5" x14ac:dyDescent="0.35">
      <c r="A1" s="117" t="s">
        <v>674</v>
      </c>
      <c r="B1" s="117"/>
      <c r="C1" s="117"/>
      <c r="D1" s="117"/>
    </row>
    <row r="2" spans="1:13" ht="15.5" x14ac:dyDescent="0.35">
      <c r="A2" s="117" t="s">
        <v>787</v>
      </c>
      <c r="B2" s="335"/>
      <c r="C2" s="335"/>
      <c r="D2" s="335"/>
    </row>
    <row r="3" spans="1:13" ht="37.5" x14ac:dyDescent="0.25">
      <c r="A3" s="336" t="s">
        <v>396</v>
      </c>
      <c r="B3" s="337" t="s">
        <v>399</v>
      </c>
      <c r="C3" s="336" t="s">
        <v>397</v>
      </c>
      <c r="D3" s="336" t="s">
        <v>348</v>
      </c>
      <c r="E3" s="125" t="s">
        <v>432</v>
      </c>
      <c r="F3" s="138" t="s">
        <v>403</v>
      </c>
      <c r="G3" s="8" t="s">
        <v>104</v>
      </c>
      <c r="H3" s="8"/>
      <c r="I3" s="142" t="s">
        <v>404</v>
      </c>
      <c r="J3" s="65"/>
      <c r="K3" s="119" t="s">
        <v>415</v>
      </c>
      <c r="L3" s="31" t="s">
        <v>133</v>
      </c>
      <c r="M3" s="4"/>
    </row>
    <row r="4" spans="1:13" x14ac:dyDescent="0.25">
      <c r="A4" s="17" t="s">
        <v>410</v>
      </c>
      <c r="B4" t="s">
        <v>407</v>
      </c>
      <c r="C4" t="s">
        <v>398</v>
      </c>
      <c r="D4" t="s">
        <v>278</v>
      </c>
      <c r="E4" s="6">
        <v>0</v>
      </c>
      <c r="F4" s="32">
        <v>0</v>
      </c>
      <c r="G4" s="61" t="str">
        <f>IF(ISERROR(F4/E4),"n/a",F4/E4)</f>
        <v>n/a</v>
      </c>
      <c r="I4" s="23">
        <v>1.3614602604109014</v>
      </c>
      <c r="K4" s="32">
        <f>F4*I4</f>
        <v>0</v>
      </c>
      <c r="L4" s="61" t="str">
        <f>IF(ISERROR(K4/E4),"n/a",K4/E4)</f>
        <v>n/a</v>
      </c>
    </row>
    <row r="5" spans="1:13" x14ac:dyDescent="0.25">
      <c r="D5" t="s">
        <v>373</v>
      </c>
      <c r="E5" s="6">
        <v>0</v>
      </c>
      <c r="F5" s="32">
        <v>0</v>
      </c>
      <c r="G5" s="61" t="str">
        <f>IF(ISERROR(F5/E5),"n/a",F5/E5)</f>
        <v>n/a</v>
      </c>
      <c r="I5" s="23">
        <v>1.3614602604109014</v>
      </c>
      <c r="K5" s="32">
        <f>F5*I5</f>
        <v>0</v>
      </c>
      <c r="L5" s="61" t="str">
        <f>IF(ISERROR(K5/E5),"n/a",K5/E5)</f>
        <v>n/a</v>
      </c>
    </row>
    <row r="6" spans="1:13" x14ac:dyDescent="0.25">
      <c r="D6" t="s">
        <v>279</v>
      </c>
      <c r="E6" s="6">
        <v>0</v>
      </c>
      <c r="F6" s="32">
        <v>0</v>
      </c>
      <c r="G6" s="61" t="str">
        <f>IF(ISERROR(F6/E6),"n/a",F6/E6)</f>
        <v>n/a</v>
      </c>
      <c r="I6" s="23">
        <v>1.3614602604109014</v>
      </c>
      <c r="K6" s="32">
        <f>F6*I6</f>
        <v>0</v>
      </c>
      <c r="L6" s="61" t="str">
        <f>IF(ISERROR(K6/E6),"n/a",K6/E6)</f>
        <v>n/a</v>
      </c>
    </row>
    <row r="7" spans="1:13" x14ac:dyDescent="0.25">
      <c r="E7" s="6"/>
    </row>
    <row r="8" spans="1:13" x14ac:dyDescent="0.25">
      <c r="B8" t="s">
        <v>476</v>
      </c>
      <c r="C8" t="s">
        <v>398</v>
      </c>
      <c r="D8" t="s">
        <v>278</v>
      </c>
      <c r="E8" s="6">
        <f>'Table 3.28-REC Volume'!H8</f>
        <v>47303.698805077503</v>
      </c>
      <c r="F8" s="32">
        <v>3452.8591358104263</v>
      </c>
      <c r="G8" s="61">
        <f>IF(ISERROR(F8/E8),"n/a",F8/E8)</f>
        <v>7.2993428062327378E-2</v>
      </c>
      <c r="I8" s="23">
        <v>1.3614602604109014</v>
      </c>
      <c r="K8" s="32">
        <f>F8*I8</f>
        <v>4700.9304982026233</v>
      </c>
      <c r="L8" s="61">
        <f>IF(ISERROR(K8/E8),"n/a",K8/E8)</f>
        <v>9.9377651578020643E-2</v>
      </c>
    </row>
    <row r="9" spans="1:13" x14ac:dyDescent="0.25">
      <c r="D9" t="s">
        <v>373</v>
      </c>
      <c r="E9" s="6">
        <f>'Table 3.28-REC Volume'!H9</f>
        <v>2646.5225680649783</v>
      </c>
      <c r="F9" s="32">
        <v>193.17875468737691</v>
      </c>
      <c r="G9" s="61">
        <f>IF(ISERROR(F9/E9),"n/a",F9/E9)</f>
        <v>7.2993428062327378E-2</v>
      </c>
      <c r="I9" s="23">
        <v>1.3614602604109014</v>
      </c>
      <c r="K9" s="32">
        <f>F9*I9</f>
        <v>263.00519766252978</v>
      </c>
      <c r="L9" s="61">
        <f>IF(ISERROR(K9/E9),"n/a",K9/E9)</f>
        <v>9.9377651578020629E-2</v>
      </c>
    </row>
    <row r="10" spans="1:13" x14ac:dyDescent="0.25">
      <c r="D10" t="s">
        <v>279</v>
      </c>
      <c r="E10" s="6">
        <f>'Table 3.28-REC Volume'!H10</f>
        <v>60627.496489357502</v>
      </c>
      <c r="F10" s="32">
        <v>4425.4088035949226</v>
      </c>
      <c r="G10" s="61">
        <f>IF(ISERROR(F10/E10),"n/a",F10/E10)</f>
        <v>7.2993428062327378E-2</v>
      </c>
      <c r="I10" s="23">
        <v>1.3614602604109014</v>
      </c>
      <c r="K10" s="32">
        <f>F10*I10</f>
        <v>6025.0182221670393</v>
      </c>
      <c r="L10" s="61">
        <f>IF(ISERROR(K10/E10),"n/a",K10/E10)</f>
        <v>9.9377651578020643E-2</v>
      </c>
    </row>
    <row r="11" spans="1:13" x14ac:dyDescent="0.25">
      <c r="E11" s="6"/>
    </row>
    <row r="12" spans="1:13" x14ac:dyDescent="0.25">
      <c r="B12" t="s">
        <v>407</v>
      </c>
      <c r="C12" s="11" t="s">
        <v>48</v>
      </c>
      <c r="D12" t="s">
        <v>373</v>
      </c>
      <c r="E12" s="6">
        <v>0</v>
      </c>
      <c r="F12" s="32">
        <v>0</v>
      </c>
      <c r="G12" s="61" t="str">
        <f>IF(ISERROR(F12/E12),"n/a",F12/E12)</f>
        <v>n/a</v>
      </c>
      <c r="I12" s="23">
        <v>1.3614602604109014</v>
      </c>
      <c r="K12" s="32">
        <f>F12*I12</f>
        <v>0</v>
      </c>
      <c r="L12" s="61" t="str">
        <f>IF(ISERROR(K12/E12),"n/a",K12/E12)</f>
        <v>n/a</v>
      </c>
    </row>
    <row r="13" spans="1:13" x14ac:dyDescent="0.25">
      <c r="C13" s="11" t="s">
        <v>655</v>
      </c>
      <c r="D13" t="s">
        <v>279</v>
      </c>
      <c r="E13" s="6">
        <v>0</v>
      </c>
      <c r="F13" s="32">
        <v>0</v>
      </c>
      <c r="G13" s="61" t="str">
        <f>IF(ISERROR(F13/E13),"n/a",F13/E13)</f>
        <v>n/a</v>
      </c>
      <c r="I13" s="23">
        <v>1.3614602604109014</v>
      </c>
      <c r="K13" s="32">
        <f>F13*I13</f>
        <v>0</v>
      </c>
      <c r="L13" s="61" t="str">
        <f>IF(ISERROR(K13/E13),"n/a",K13/E13)</f>
        <v>n/a</v>
      </c>
    </row>
    <row r="14" spans="1:13" x14ac:dyDescent="0.25">
      <c r="E14" s="6"/>
    </row>
    <row r="15" spans="1:13" x14ac:dyDescent="0.25">
      <c r="B15" t="s">
        <v>400</v>
      </c>
      <c r="C15" s="11" t="s">
        <v>48</v>
      </c>
      <c r="D15" t="s">
        <v>373</v>
      </c>
      <c r="E15" s="6">
        <f>'Table 3.28-REC Volume'!H15</f>
        <v>2377.8277993887255</v>
      </c>
      <c r="F15" s="32">
        <v>173.56580241928313</v>
      </c>
      <c r="G15" s="61">
        <f>IF(ISERROR(F15/E15),"n/a",F15/E15)</f>
        <v>7.2993428062327365E-2</v>
      </c>
      <c r="I15" s="23">
        <v>1.3614602604109014</v>
      </c>
      <c r="K15" s="32">
        <f>F15*I15</f>
        <v>236.30294256018428</v>
      </c>
      <c r="L15" s="61">
        <f>IF(ISERROR(K15/E15),"n/a",K15/E15)</f>
        <v>9.9377651578020629E-2</v>
      </c>
    </row>
    <row r="16" spans="1:13" x14ac:dyDescent="0.25">
      <c r="B16" s="204"/>
      <c r="C16" s="238" t="s">
        <v>48</v>
      </c>
      <c r="D16" s="204" t="s">
        <v>279</v>
      </c>
      <c r="E16" s="10">
        <f>'Table 3.28-REC Volume'!H16</f>
        <v>12056.914891341487</v>
      </c>
      <c r="F16" s="131">
        <v>880.07554977473853</v>
      </c>
      <c r="G16" s="129">
        <f>IF(ISERROR(F16/E16),"n/a",F16/E16)</f>
        <v>7.2993428062327378E-2</v>
      </c>
      <c r="H16" s="204"/>
      <c r="I16" s="338">
        <v>1.3614602604109014</v>
      </c>
      <c r="J16" s="204"/>
      <c r="K16" s="131">
        <f>F16*I16</f>
        <v>1198.1878871775828</v>
      </c>
      <c r="L16" s="129">
        <f>IF(ISERROR(K16/E16),"n/a",K16/E16)</f>
        <v>9.9377651578020629E-2</v>
      </c>
    </row>
    <row r="17" spans="1:12" x14ac:dyDescent="0.25">
      <c r="D17" s="339" t="s">
        <v>406</v>
      </c>
      <c r="E17" s="6">
        <f>SUM(E4:E16)</f>
        <v>125012.46055323021</v>
      </c>
      <c r="F17" s="32">
        <f>SUM(F4:F16)</f>
        <v>9125.0880462867462</v>
      </c>
      <c r="G17" s="61">
        <f>IF(ISERROR(F17/E17),"n/a",F17/E17)</f>
        <v>7.2993428062327365E-2</v>
      </c>
      <c r="K17" s="32">
        <f>SUM(K4:K16)</f>
        <v>12423.444747769958</v>
      </c>
      <c r="L17" s="61">
        <f>IF(ISERROR(K17/E17),"n/a",K17/E17)</f>
        <v>9.9377651578020615E-2</v>
      </c>
    </row>
    <row r="18" spans="1:12" ht="5.15" customHeight="1" x14ac:dyDescent="0.25"/>
    <row r="19" spans="1:12" x14ac:dyDescent="0.25">
      <c r="A19" s="17" t="s">
        <v>411</v>
      </c>
      <c r="B19" t="s">
        <v>407</v>
      </c>
      <c r="C19" t="s">
        <v>398</v>
      </c>
      <c r="D19" t="s">
        <v>278</v>
      </c>
      <c r="E19" s="6">
        <v>0</v>
      </c>
      <c r="F19" s="32">
        <v>0</v>
      </c>
      <c r="G19" s="61" t="str">
        <f>IF(ISERROR(F19/E19),"n/a",F19/E19)</f>
        <v>n/a</v>
      </c>
      <c r="I19" s="23">
        <v>1.3614602604109014</v>
      </c>
      <c r="K19" s="32">
        <f>F19*I19</f>
        <v>0</v>
      </c>
      <c r="L19" s="61" t="str">
        <f>IF(ISERROR(K19/E19),"n/a",K19/E19)</f>
        <v>n/a</v>
      </c>
    </row>
    <row r="20" spans="1:12" x14ac:dyDescent="0.25">
      <c r="D20" t="s">
        <v>373</v>
      </c>
      <c r="E20" s="6">
        <v>0</v>
      </c>
      <c r="F20" s="32">
        <v>0</v>
      </c>
      <c r="G20" s="61" t="str">
        <f>IF(ISERROR(F20/E20),"n/a",F20/E20)</f>
        <v>n/a</v>
      </c>
      <c r="I20" s="23">
        <v>1.3614602604109014</v>
      </c>
      <c r="K20" s="32">
        <f>F20*I20</f>
        <v>0</v>
      </c>
      <c r="L20" s="61" t="str">
        <f>IF(ISERROR(K20/E20),"n/a",K20/E20)</f>
        <v>n/a</v>
      </c>
    </row>
    <row r="21" spans="1:12" x14ac:dyDescent="0.25">
      <c r="D21" t="s">
        <v>279</v>
      </c>
      <c r="E21" s="6">
        <v>0</v>
      </c>
      <c r="F21" s="32">
        <v>0</v>
      </c>
      <c r="G21" s="61" t="str">
        <f>IF(ISERROR(F21/E21),"n/a",F21/E21)</f>
        <v>n/a</v>
      </c>
      <c r="I21" s="23">
        <v>1.3614602604109014</v>
      </c>
      <c r="K21" s="32">
        <f>F21*I21</f>
        <v>0</v>
      </c>
      <c r="L21" s="61" t="str">
        <f>IF(ISERROR(K21/E21),"n/a",K21/E21)</f>
        <v>n/a</v>
      </c>
    </row>
    <row r="22" spans="1:12" x14ac:dyDescent="0.25">
      <c r="E22" s="6"/>
    </row>
    <row r="23" spans="1:12" x14ac:dyDescent="0.25">
      <c r="B23" t="s">
        <v>476</v>
      </c>
      <c r="C23" t="s">
        <v>398</v>
      </c>
      <c r="D23" t="s">
        <v>278</v>
      </c>
      <c r="E23" s="6">
        <f>'Table 3.28-REC Volume'!H23</f>
        <v>3195.0743929745367</v>
      </c>
      <c r="F23" s="32">
        <v>233.21943285737115</v>
      </c>
      <c r="G23" s="61">
        <f>IF(ISERROR(F23/E23),"n/a",F23/E23)</f>
        <v>7.2993428062327378E-2</v>
      </c>
      <c r="I23" s="23">
        <v>1.3614602604109014</v>
      </c>
      <c r="K23" s="32">
        <f>F23*I23</f>
        <v>317.51898979087923</v>
      </c>
      <c r="L23" s="61">
        <f>IF(ISERROR(K23/E23),"n/a",K23/E23)</f>
        <v>9.9377651578020615E-2</v>
      </c>
    </row>
    <row r="24" spans="1:12" x14ac:dyDescent="0.25">
      <c r="D24" t="s">
        <v>373</v>
      </c>
      <c r="E24" s="6">
        <f>'Table 3.28-REC Volume'!H24</f>
        <v>178.75634889561715</v>
      </c>
      <c r="F24" s="32">
        <v>13.048038693796526</v>
      </c>
      <c r="G24" s="61">
        <f>IF(ISERROR(F24/E24),"n/a",F24/E24)</f>
        <v>7.2993428062327392E-2</v>
      </c>
      <c r="I24" s="23">
        <v>1.3614602604109014</v>
      </c>
      <c r="K24" s="32">
        <f>F24*I24</f>
        <v>17.764386157907737</v>
      </c>
      <c r="L24" s="61">
        <f>IF(ISERROR(K24/E24),"n/a",K24/E24)</f>
        <v>9.9377651578020643E-2</v>
      </c>
    </row>
    <row r="25" spans="1:12" x14ac:dyDescent="0.25">
      <c r="D25" t="s">
        <v>279</v>
      </c>
      <c r="E25" s="6">
        <f>'Table 3.28-REC Volume'!H25</f>
        <v>4095.0151137548523</v>
      </c>
      <c r="F25" s="32">
        <v>298.90919112000819</v>
      </c>
      <c r="G25" s="61">
        <f>IF(ISERROR(F25/E25),"n/a",F25/E25)</f>
        <v>7.2993428062327378E-2</v>
      </c>
      <c r="I25" s="23">
        <v>1.3614602604109014</v>
      </c>
      <c r="K25" s="32">
        <f>F25*I25</f>
        <v>406.95298518145825</v>
      </c>
      <c r="L25" s="61">
        <f>IF(ISERROR(K25/E25),"n/a",K25/E25)</f>
        <v>9.9377651578020629E-2</v>
      </c>
    </row>
    <row r="26" spans="1:12" x14ac:dyDescent="0.25">
      <c r="E26" s="6"/>
    </row>
    <row r="27" spans="1:12" x14ac:dyDescent="0.25">
      <c r="B27" t="s">
        <v>407</v>
      </c>
      <c r="C27" s="11" t="s">
        <v>48</v>
      </c>
      <c r="D27" s="11" t="s">
        <v>433</v>
      </c>
      <c r="E27" s="6">
        <v>0</v>
      </c>
      <c r="F27" s="32">
        <v>0</v>
      </c>
      <c r="G27" s="61" t="str">
        <f>IF(ISERROR(F27/E27),"n/a",F27/E27)</f>
        <v>n/a</v>
      </c>
      <c r="I27" s="23">
        <v>1.3614602604109014</v>
      </c>
      <c r="K27" s="32">
        <f>F27*I27</f>
        <v>0</v>
      </c>
      <c r="L27" s="61" t="str">
        <f>IF(ISERROR(K27/E27),"n/a",K27/E27)</f>
        <v>n/a</v>
      </c>
    </row>
    <row r="28" spans="1:12" x14ac:dyDescent="0.25">
      <c r="C28" s="11" t="s">
        <v>655</v>
      </c>
      <c r="D28" t="s">
        <v>279</v>
      </c>
      <c r="E28" s="6">
        <v>0</v>
      </c>
      <c r="F28" s="32">
        <v>0</v>
      </c>
      <c r="G28" s="61" t="str">
        <f>IF(ISERROR(F28/E28),"n/a",F28/E28)</f>
        <v>n/a</v>
      </c>
      <c r="I28" s="23">
        <v>1.3614602604109014</v>
      </c>
      <c r="K28" s="32">
        <f>F28*I28</f>
        <v>0</v>
      </c>
      <c r="L28" s="61" t="str">
        <f>IF(ISERROR(K28/E28),"n/a",K28/E28)</f>
        <v>n/a</v>
      </c>
    </row>
    <row r="29" spans="1:12" x14ac:dyDescent="0.25">
      <c r="E29" s="6"/>
    </row>
    <row r="30" spans="1:12" x14ac:dyDescent="0.25">
      <c r="B30" t="s">
        <v>400</v>
      </c>
      <c r="C30" s="11" t="s">
        <v>48</v>
      </c>
      <c r="D30" t="s">
        <v>373</v>
      </c>
      <c r="E30" s="6">
        <f>'Table 3.28-REC Volume'!H30</f>
        <v>160.60766715169476</v>
      </c>
      <c r="F30" s="32">
        <v>11.723304198495452</v>
      </c>
      <c r="G30" s="61">
        <f>IF(ISERROR(F30/E30),"n/a",F30/E30)</f>
        <v>7.2993428062327378E-2</v>
      </c>
      <c r="I30" s="23">
        <v>1.3614602604109014</v>
      </c>
      <c r="K30" s="32">
        <f>F30*I30</f>
        <v>15.960812786959831</v>
      </c>
      <c r="L30" s="61">
        <f>IF(ISERROR(K30/E30),"n/a",K30/E30)</f>
        <v>9.9377651578020629E-2</v>
      </c>
    </row>
    <row r="31" spans="1:12" x14ac:dyDescent="0.25">
      <c r="B31" s="204"/>
      <c r="C31" s="238" t="s">
        <v>48</v>
      </c>
      <c r="D31" s="204" t="s">
        <v>279</v>
      </c>
      <c r="E31" s="10">
        <f>'Table 3.28-REC Volume'!H31</f>
        <v>814.37056722218881</v>
      </c>
      <c r="F31" s="131">
        <v>59.443699414609583</v>
      </c>
      <c r="G31" s="129">
        <f>IF(ISERROR(F31/E31),"n/a",F31/E31)</f>
        <v>7.2993428062327378E-2</v>
      </c>
      <c r="H31" s="204"/>
      <c r="I31" s="338">
        <v>1.3614602604109014</v>
      </c>
      <c r="J31" s="204"/>
      <c r="K31" s="131">
        <f>F31*I31</f>
        <v>80.930234484801716</v>
      </c>
      <c r="L31" s="129">
        <f>IF(ISERROR(K31/E31),"n/a",K31/E31)</f>
        <v>9.9377651578020643E-2</v>
      </c>
    </row>
    <row r="32" spans="1:12" x14ac:dyDescent="0.25">
      <c r="D32" s="339" t="s">
        <v>405</v>
      </c>
      <c r="E32" s="6">
        <f>SUM(E19:E31)</f>
        <v>8443.8240899988905</v>
      </c>
      <c r="F32" s="32">
        <f>SUM(F19:F31)</f>
        <v>616.34366628428086</v>
      </c>
      <c r="G32" s="61">
        <f>IF(ISERROR(F32/E32),"n/a",F32/E32)</f>
        <v>7.2993428062327365E-2</v>
      </c>
      <c r="K32" s="32">
        <f>SUM(K19:K31)</f>
        <v>839.12740840200684</v>
      </c>
      <c r="L32" s="61">
        <f>IF(ISERROR(K32/E32),"n/a",K32/E32)</f>
        <v>9.9377651578020629E-2</v>
      </c>
    </row>
    <row r="33" spans="1:12" ht="5.15" customHeight="1" x14ac:dyDescent="0.25"/>
    <row r="34" spans="1:12" x14ac:dyDescent="0.25">
      <c r="A34" s="17" t="s">
        <v>412</v>
      </c>
      <c r="B34" t="s">
        <v>407</v>
      </c>
      <c r="C34" s="11" t="s">
        <v>409</v>
      </c>
      <c r="D34" s="11" t="s">
        <v>433</v>
      </c>
      <c r="E34" s="6">
        <v>0</v>
      </c>
      <c r="F34" s="32">
        <v>0</v>
      </c>
      <c r="G34" s="61" t="str">
        <f>IF(ISERROR(F34/E34),"n/a",F34/E34)</f>
        <v>n/a</v>
      </c>
      <c r="I34" s="23">
        <v>1.3614602604109014</v>
      </c>
      <c r="K34" s="32">
        <f>F34*I34</f>
        <v>0</v>
      </c>
      <c r="L34" s="61" t="str">
        <f>IF(ISERROR(K34/E34),"n/a",K34/E34)</f>
        <v>n/a</v>
      </c>
    </row>
    <row r="35" spans="1:12" x14ac:dyDescent="0.25">
      <c r="E35" s="6"/>
    </row>
    <row r="36" spans="1:12" x14ac:dyDescent="0.25">
      <c r="B36" t="s">
        <v>400</v>
      </c>
      <c r="C36" t="s">
        <v>409</v>
      </c>
      <c r="D36" t="s">
        <v>373</v>
      </c>
      <c r="E36" s="6">
        <f>'Table 3.28-REC Volume'!H36</f>
        <v>57937.710398775234</v>
      </c>
      <c r="F36" s="32">
        <v>4229.0720960889566</v>
      </c>
      <c r="G36" s="61">
        <f>IF(ISERROR(F36/E36),"n/a",F36/E36)</f>
        <v>7.2993428062327378E-2</v>
      </c>
      <c r="I36" s="23">
        <v>1.3614602604109014</v>
      </c>
      <c r="K36" s="32">
        <f>F36*I36</f>
        <v>5757.7135972377473</v>
      </c>
      <c r="L36" s="61">
        <f>IF(ISERROR(K36/E36),"n/a",K36/E36)</f>
        <v>9.9377651578020615E-2</v>
      </c>
    </row>
    <row r="37" spans="1:12" x14ac:dyDescent="0.25">
      <c r="B37" s="204"/>
      <c r="C37" s="204"/>
      <c r="D37" s="204" t="s">
        <v>279</v>
      </c>
      <c r="E37" s="10">
        <f>'Table 3.28-REC Volume'!H37</f>
        <v>162349.76591523708</v>
      </c>
      <c r="F37" s="131">
        <v>11850.465959269546</v>
      </c>
      <c r="G37" s="129">
        <f>IF(ISERROR(F37/E37),"n/a",F37/E37)</f>
        <v>7.2993428062327378E-2</v>
      </c>
      <c r="H37" s="204"/>
      <c r="I37" s="338">
        <v>1.3614602604109014</v>
      </c>
      <c r="J37" s="204"/>
      <c r="K37" s="131">
        <f>F37*I37</f>
        <v>16133.938470897639</v>
      </c>
      <c r="L37" s="129">
        <f>IF(ISERROR(K37/E37),"n/a",K37/E37)</f>
        <v>9.9377651578020629E-2</v>
      </c>
    </row>
    <row r="38" spans="1:12" x14ac:dyDescent="0.25">
      <c r="D38" s="339" t="s">
        <v>413</v>
      </c>
      <c r="E38" s="6">
        <f>SUM(E34:E37)</f>
        <v>220287.47631401231</v>
      </c>
      <c r="F38" s="32">
        <f>SUM(F34:F37)</f>
        <v>16079.538055358502</v>
      </c>
      <c r="G38" s="61">
        <f>IF(ISERROR(F38/E38),"n/a",F38/E38)</f>
        <v>7.2993428062327365E-2</v>
      </c>
      <c r="K38" s="32">
        <f>SUM(K34:K37)</f>
        <v>21891.652068135387</v>
      </c>
      <c r="L38" s="61">
        <f>IF(ISERROR(K38/E38),"n/a",K38/E38)</f>
        <v>9.9377651578020629E-2</v>
      </c>
    </row>
    <row r="39" spans="1:12" ht="5.15" customHeight="1" x14ac:dyDescent="0.25">
      <c r="D39" s="339"/>
      <c r="E39" s="6"/>
      <c r="F39" s="6"/>
      <c r="G39" s="61"/>
      <c r="K39" s="32"/>
      <c r="L39" s="61"/>
    </row>
    <row r="40" spans="1:12" x14ac:dyDescent="0.25">
      <c r="D40" s="339" t="s">
        <v>428</v>
      </c>
      <c r="E40" s="6">
        <f>SUM(E17,E32,E38)</f>
        <v>353743.76095724141</v>
      </c>
      <c r="F40" s="32">
        <f>SUM(F17,F32,F38)</f>
        <v>25820.969767929528</v>
      </c>
      <c r="G40" s="61">
        <f>IF(ISERROR(F40/E40),"n/a",F40/E40)</f>
        <v>7.2993428062327365E-2</v>
      </c>
      <c r="K40" s="32">
        <f>SUM(K17,K32,K38)</f>
        <v>35154.224224307349</v>
      </c>
      <c r="L40" s="61">
        <f>IF(ISERROR(K40/E40),"n/a",K40/E40)</f>
        <v>9.9377651578020615E-2</v>
      </c>
    </row>
    <row r="41" spans="1:12" ht="5.15" customHeight="1" x14ac:dyDescent="0.25">
      <c r="D41" s="339"/>
      <c r="E41" s="28"/>
      <c r="K41" s="341"/>
      <c r="L41" s="342"/>
    </row>
    <row r="42" spans="1:12" x14ac:dyDescent="0.25">
      <c r="D42" s="11" t="s">
        <v>418</v>
      </c>
      <c r="E42" s="28"/>
    </row>
    <row r="43" spans="1:12" x14ac:dyDescent="0.25">
      <c r="D43" s="13" t="s">
        <v>425</v>
      </c>
      <c r="E43" s="24">
        <v>0</v>
      </c>
      <c r="F43" s="32">
        <v>0</v>
      </c>
      <c r="G43" s="61" t="str">
        <f>IF(ISERROR(F43/E43),"n/a",F43/E43)</f>
        <v>n/a</v>
      </c>
      <c r="I43" s="23">
        <v>1.3614602604109014</v>
      </c>
      <c r="K43" s="32">
        <f>F43*I43</f>
        <v>0</v>
      </c>
      <c r="L43" s="61" t="str">
        <f>IF(ISERROR(K43/E43),"n/a",K43/E43)</f>
        <v>n/a</v>
      </c>
    </row>
    <row r="44" spans="1:12" x14ac:dyDescent="0.25">
      <c r="D44" s="343" t="s">
        <v>426</v>
      </c>
      <c r="E44" s="203">
        <v>0</v>
      </c>
      <c r="F44" s="131">
        <v>0</v>
      </c>
      <c r="G44" s="129" t="str">
        <f>IF(ISERROR(F44/E44),"n/a",F44/E44)</f>
        <v>n/a</v>
      </c>
      <c r="H44" s="204"/>
      <c r="I44" s="338">
        <v>1.3614602604109014</v>
      </c>
      <c r="J44" s="204"/>
      <c r="K44" s="131">
        <f>F44*I44</f>
        <v>0</v>
      </c>
      <c r="L44" s="129" t="str">
        <f>IF(ISERROR(K44/E44),"n/a",K44/E44)</f>
        <v>n/a</v>
      </c>
    </row>
    <row r="45" spans="1:12" x14ac:dyDescent="0.25">
      <c r="D45" s="339" t="s">
        <v>427</v>
      </c>
      <c r="E45" s="6">
        <f>SUM(E43:E44)</f>
        <v>0</v>
      </c>
      <c r="F45" s="32">
        <f>SUM(F43:F44)</f>
        <v>0</v>
      </c>
      <c r="G45" s="61" t="str">
        <f>IF(ISERROR(F45/E45),"n/a",F45/E45)</f>
        <v>n/a</v>
      </c>
      <c r="K45" s="32">
        <f>SUM(K43:K44)</f>
        <v>0</v>
      </c>
      <c r="L45" s="61" t="str">
        <f>IF(ISERROR(K45/E45),"n/a",K45/E45)</f>
        <v>n/a</v>
      </c>
    </row>
    <row r="46" spans="1:12" ht="5.15" customHeight="1" x14ac:dyDescent="0.25">
      <c r="D46" s="339"/>
    </row>
    <row r="47" spans="1:12" ht="13" x14ac:dyDescent="0.3">
      <c r="D47" s="97" t="s">
        <v>429</v>
      </c>
      <c r="E47" s="6">
        <f>SUM(E40,E45)</f>
        <v>353743.76095724141</v>
      </c>
      <c r="F47" s="32">
        <f>SUM(F40,F45)</f>
        <v>25820.969767929528</v>
      </c>
      <c r="G47" s="61">
        <f>IF(ISERROR(F47/E47),"n/a",F47/E47)</f>
        <v>7.2993428062327365E-2</v>
      </c>
      <c r="K47" s="32">
        <f>SUM(K40,K45)</f>
        <v>35154.224224307349</v>
      </c>
      <c r="L47" s="61">
        <f>IF(ISERROR(K47/E47),"n/a",K47/E47)</f>
        <v>9.9377651578020615E-2</v>
      </c>
    </row>
    <row r="48" spans="1:12" x14ac:dyDescent="0.25">
      <c r="D48" s="339"/>
      <c r="E48" s="6"/>
      <c r="F48" s="32"/>
      <c r="G48" s="61"/>
      <c r="K48" s="32"/>
      <c r="L48" s="61"/>
    </row>
    <row r="49" spans="1:12" x14ac:dyDescent="0.25">
      <c r="D49" s="263" t="s">
        <v>476</v>
      </c>
      <c r="E49" s="265">
        <f>SUM(E8:E10,E23:E25)</f>
        <v>118046.56371812501</v>
      </c>
      <c r="F49" s="352">
        <f>SUM(F8:F10,F23:F25)</f>
        <v>8616.623356763901</v>
      </c>
      <c r="G49" s="353">
        <f>IF(ISERROR(F49/E49),"n/a",F49/E49)</f>
        <v>7.2993428062327365E-2</v>
      </c>
      <c r="H49" s="264"/>
      <c r="I49" s="354">
        <v>1.3614602604109014</v>
      </c>
      <c r="J49" s="264"/>
      <c r="K49" s="352">
        <f>F49*I49</f>
        <v>11731.190279162436</v>
      </c>
      <c r="L49" s="355">
        <f>IF(ISERROR(K49/E49),"n/a",K49/E49)</f>
        <v>9.9377651578020615E-2</v>
      </c>
    </row>
    <row r="50" spans="1:12" x14ac:dyDescent="0.25">
      <c r="D50" s="356" t="s">
        <v>400</v>
      </c>
      <c r="E50" s="10">
        <f>SUM(E15:E16,E30:E31,E36:E37)</f>
        <v>235697.19723911642</v>
      </c>
      <c r="F50" s="131">
        <f>SUM(F15:F16,F30:F31,F36:F37)</f>
        <v>17204.346411165629</v>
      </c>
      <c r="G50" s="129">
        <f>IF(ISERROR(F50/E50),"n/a",F50/E50)</f>
        <v>7.2993428062327365E-2</v>
      </c>
      <c r="H50" s="204"/>
      <c r="I50" s="338">
        <v>1.3614602604109014</v>
      </c>
      <c r="J50" s="204"/>
      <c r="K50" s="131">
        <f>F50*I50</f>
        <v>23423.033945144914</v>
      </c>
      <c r="L50" s="357">
        <f>IF(ISERROR(K50/E50),"n/a",K50/E50)</f>
        <v>9.9377651578020615E-2</v>
      </c>
    </row>
    <row r="51" spans="1:12" hidden="1" x14ac:dyDescent="0.25">
      <c r="A51" s="17"/>
    </row>
    <row r="52" spans="1:12" hidden="1" x14ac:dyDescent="0.25">
      <c r="A52" s="17"/>
      <c r="D52" s="13" t="s">
        <v>191</v>
      </c>
      <c r="E52" s="105">
        <f>E17-SUM('Table 3.28-REC Volume'!H8:H10,'Table 3.28-REC Volume'!H15:H16)</f>
        <v>0</v>
      </c>
      <c r="F52" s="105">
        <v>0</v>
      </c>
      <c r="J52" s="13" t="s">
        <v>191</v>
      </c>
      <c r="K52" s="105">
        <f>K47/F47-I44</f>
        <v>0</v>
      </c>
      <c r="L52" s="105">
        <f>L47/G47-I44</f>
        <v>0</v>
      </c>
    </row>
    <row r="53" spans="1:12" hidden="1" x14ac:dyDescent="0.25">
      <c r="A53" s="17"/>
      <c r="E53" s="105">
        <f>E32-SUM('Table 3.28-REC Volume'!H23:H25,'Table 3.28-REC Volume'!H30:H31)</f>
        <v>0</v>
      </c>
      <c r="F53" s="105">
        <v>0</v>
      </c>
    </row>
    <row r="54" spans="1:12" hidden="1" x14ac:dyDescent="0.25">
      <c r="E54" s="105">
        <f>E38-SUM('Table 3.28-REC Volume'!H36:H37)</f>
        <v>0</v>
      </c>
      <c r="F54" s="105">
        <v>0</v>
      </c>
    </row>
    <row r="55" spans="1:12" hidden="1" x14ac:dyDescent="0.25">
      <c r="E55" s="167"/>
      <c r="F55" s="105">
        <v>0</v>
      </c>
    </row>
    <row r="56" spans="1:12" hidden="1" x14ac:dyDescent="0.25">
      <c r="E56" s="167"/>
      <c r="F56" s="167"/>
    </row>
    <row r="57" spans="1:12" x14ac:dyDescent="0.25">
      <c r="A57" s="103"/>
      <c r="B57" s="204"/>
      <c r="C57" s="213"/>
    </row>
    <row r="58" spans="1:12" x14ac:dyDescent="0.25">
      <c r="A58" s="4" t="s">
        <v>235</v>
      </c>
      <c r="C58" s="28"/>
    </row>
    <row r="59" spans="1:12" x14ac:dyDescent="0.25">
      <c r="A59" s="11" t="s">
        <v>699</v>
      </c>
      <c r="C59" s="28"/>
    </row>
    <row r="60" spans="1:12" x14ac:dyDescent="0.25">
      <c r="A60" s="17" t="s">
        <v>810</v>
      </c>
    </row>
    <row r="61" spans="1:12" x14ac:dyDescent="0.25">
      <c r="A61" s="17" t="s">
        <v>808</v>
      </c>
    </row>
    <row r="62" spans="1:12" x14ac:dyDescent="0.25">
      <c r="A62" s="2" t="s">
        <v>414</v>
      </c>
    </row>
    <row r="63" spans="1:12" x14ac:dyDescent="0.25">
      <c r="A63" s="17" t="s">
        <v>7</v>
      </c>
    </row>
    <row r="64" spans="1:12" x14ac:dyDescent="0.25">
      <c r="A64" s="17" t="s">
        <v>656</v>
      </c>
    </row>
    <row r="65" spans="1:1" x14ac:dyDescent="0.25">
      <c r="A65" s="17" t="s">
        <v>8</v>
      </c>
    </row>
    <row r="66" spans="1:1" x14ac:dyDescent="0.25">
      <c r="A66" s="17" t="s">
        <v>657</v>
      </c>
    </row>
    <row r="67" spans="1:1" x14ac:dyDescent="0.25">
      <c r="A67" s="11" t="s">
        <v>24</v>
      </c>
    </row>
  </sheetData>
  <phoneticPr fontId="5" type="noConversion"/>
  <printOptions horizontalCentered="1"/>
  <pageMargins left="0.75" right="0.75" top="1" bottom="1" header="0.5" footer="0.5"/>
  <pageSetup scale="62" orientation="landscape" r:id="rId1"/>
  <headerFooter alignWithMargins="0">
    <oddFooter>&amp;L&amp;F</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7">
    <pageSetUpPr fitToPage="1"/>
  </sheetPr>
  <dimension ref="A1:H60"/>
  <sheetViews>
    <sheetView zoomScale="70" workbookViewId="0"/>
  </sheetViews>
  <sheetFormatPr defaultRowHeight="12.5" x14ac:dyDescent="0.25"/>
  <cols>
    <col min="1" max="1" width="27.08984375" customWidth="1"/>
    <col min="2" max="2" width="9.6328125" customWidth="1"/>
    <col min="3" max="3" width="25.6328125" customWidth="1"/>
    <col min="4" max="4" width="18.36328125" customWidth="1"/>
    <col min="5" max="8" width="11.6328125" customWidth="1"/>
  </cols>
  <sheetData>
    <row r="1" spans="1:8" ht="15.5" x14ac:dyDescent="0.35">
      <c r="A1" s="117" t="s">
        <v>709</v>
      </c>
      <c r="B1" s="117"/>
      <c r="C1" s="117"/>
      <c r="D1" s="117"/>
    </row>
    <row r="2" spans="1:8" ht="15.5" x14ac:dyDescent="0.35">
      <c r="A2" s="117" t="s">
        <v>787</v>
      </c>
      <c r="B2" s="335"/>
      <c r="C2" s="335"/>
      <c r="D2" s="335"/>
    </row>
    <row r="3" spans="1:8" ht="37.5" x14ac:dyDescent="0.25">
      <c r="A3" s="336" t="s">
        <v>396</v>
      </c>
      <c r="B3" s="337" t="s">
        <v>399</v>
      </c>
      <c r="C3" s="336" t="s">
        <v>397</v>
      </c>
      <c r="D3" s="336" t="s">
        <v>348</v>
      </c>
      <c r="E3" s="125" t="s">
        <v>420</v>
      </c>
      <c r="F3" s="125" t="s">
        <v>421</v>
      </c>
      <c r="G3" s="125" t="s">
        <v>417</v>
      </c>
      <c r="H3" s="125" t="s">
        <v>416</v>
      </c>
    </row>
    <row r="4" spans="1:8" x14ac:dyDescent="0.25">
      <c r="A4" s="17" t="s">
        <v>422</v>
      </c>
      <c r="B4" t="s">
        <v>407</v>
      </c>
      <c r="C4" t="s">
        <v>398</v>
      </c>
      <c r="D4" t="s">
        <v>278</v>
      </c>
      <c r="E4" s="6">
        <v>365775.99271157157</v>
      </c>
      <c r="F4" s="161">
        <v>0.4</v>
      </c>
      <c r="G4" s="6">
        <f>E4*F4</f>
        <v>146310.39708462864</v>
      </c>
      <c r="H4" s="6">
        <f>E4*(1-F4)</f>
        <v>219465.59562694293</v>
      </c>
    </row>
    <row r="5" spans="1:8" x14ac:dyDescent="0.25">
      <c r="D5" t="s">
        <v>373</v>
      </c>
      <c r="E5" s="6">
        <v>193284.04479789565</v>
      </c>
      <c r="F5" s="161">
        <v>0.4</v>
      </c>
      <c r="G5" s="6">
        <f>E5*F5</f>
        <v>77313.617919158263</v>
      </c>
      <c r="H5" s="6">
        <f>E5*(1-F5)</f>
        <v>115970.42687873739</v>
      </c>
    </row>
    <row r="6" spans="1:8" x14ac:dyDescent="0.25">
      <c r="D6" t="s">
        <v>279</v>
      </c>
      <c r="E6" s="6">
        <v>8821.918410164084</v>
      </c>
      <c r="F6" s="161">
        <v>0.4</v>
      </c>
      <c r="G6" s="6">
        <f>E6*F6</f>
        <v>3528.767364065634</v>
      </c>
      <c r="H6" s="6">
        <f>E6*(1-F6)</f>
        <v>5293.15104609845</v>
      </c>
    </row>
    <row r="7" spans="1:8" x14ac:dyDescent="0.25">
      <c r="E7" s="6"/>
      <c r="G7" s="6"/>
      <c r="H7" s="6"/>
    </row>
    <row r="8" spans="1:8" x14ac:dyDescent="0.25">
      <c r="B8" t="s">
        <v>408</v>
      </c>
      <c r="C8" t="s">
        <v>398</v>
      </c>
      <c r="D8" t="s">
        <v>278</v>
      </c>
      <c r="E8" s="6">
        <v>78839.498008462513</v>
      </c>
      <c r="F8" s="161">
        <v>0.4</v>
      </c>
      <c r="G8" s="6">
        <f>E8*F8</f>
        <v>31535.799203385006</v>
      </c>
      <c r="H8" s="6">
        <f>E8*(1-F8)</f>
        <v>47303.698805077503</v>
      </c>
    </row>
    <row r="9" spans="1:8" x14ac:dyDescent="0.25">
      <c r="D9" t="s">
        <v>373</v>
      </c>
      <c r="E9" s="6">
        <v>4410.8709467749641</v>
      </c>
      <c r="F9" s="161">
        <v>0.4</v>
      </c>
      <c r="G9" s="6">
        <f>E9*F9</f>
        <v>1764.3483787099858</v>
      </c>
      <c r="H9" s="6">
        <f>E9*(1-F9)</f>
        <v>2646.5225680649783</v>
      </c>
    </row>
    <row r="10" spans="1:8" x14ac:dyDescent="0.25">
      <c r="D10" t="s">
        <v>279</v>
      </c>
      <c r="E10" s="6">
        <v>101045.82748226251</v>
      </c>
      <c r="F10" s="161">
        <v>0.4</v>
      </c>
      <c r="G10" s="6">
        <f>E10*F10</f>
        <v>40418.330992905008</v>
      </c>
      <c r="H10" s="6">
        <f>E10*(1-F10)</f>
        <v>60627.496489357502</v>
      </c>
    </row>
    <row r="11" spans="1:8" x14ac:dyDescent="0.25">
      <c r="E11" s="6"/>
      <c r="G11" s="6"/>
      <c r="H11" s="6"/>
    </row>
    <row r="12" spans="1:8" x14ac:dyDescent="0.25">
      <c r="B12" t="s">
        <v>407</v>
      </c>
      <c r="C12" s="11" t="s">
        <v>49</v>
      </c>
      <c r="D12" t="s">
        <v>373</v>
      </c>
      <c r="E12" s="6">
        <v>20168.67179665012</v>
      </c>
      <c r="F12" s="161">
        <v>0.4</v>
      </c>
      <c r="G12" s="6">
        <f>E12*F12</f>
        <v>8067.4687186600486</v>
      </c>
      <c r="H12" s="6">
        <f>E12*(1-F12)</f>
        <v>12101.203077990072</v>
      </c>
    </row>
    <row r="13" spans="1:8" x14ac:dyDescent="0.25">
      <c r="C13" s="11" t="s">
        <v>660</v>
      </c>
      <c r="D13" t="s">
        <v>279</v>
      </c>
      <c r="E13" s="6">
        <v>442473.26590019144</v>
      </c>
      <c r="F13" s="161">
        <v>0.4</v>
      </c>
      <c r="G13" s="6">
        <f>E13*F13</f>
        <v>176989.30636007659</v>
      </c>
      <c r="H13" s="6">
        <f>E13*(1-F13)</f>
        <v>265483.95954011485</v>
      </c>
    </row>
    <row r="14" spans="1:8" x14ac:dyDescent="0.25">
      <c r="E14" s="6"/>
      <c r="F14" s="161"/>
      <c r="G14" s="6"/>
      <c r="H14" s="6"/>
    </row>
    <row r="15" spans="1:8" x14ac:dyDescent="0.25">
      <c r="B15" t="s">
        <v>400</v>
      </c>
      <c r="C15" s="11" t="s">
        <v>49</v>
      </c>
      <c r="D15" t="s">
        <v>373</v>
      </c>
      <c r="E15" s="6">
        <v>3963.0463323145423</v>
      </c>
      <c r="F15" s="161">
        <v>0.4</v>
      </c>
      <c r="G15" s="6">
        <f>E15*F15</f>
        <v>1585.218532925817</v>
      </c>
      <c r="H15" s="6">
        <f>E15*(1-F15)</f>
        <v>2377.8277993887255</v>
      </c>
    </row>
    <row r="16" spans="1:8" x14ac:dyDescent="0.25">
      <c r="B16" s="204"/>
      <c r="C16" s="238" t="s">
        <v>49</v>
      </c>
      <c r="D16" s="204" t="s">
        <v>279</v>
      </c>
      <c r="E16" s="10">
        <v>20094.858152235811</v>
      </c>
      <c r="F16" s="340">
        <v>0.4</v>
      </c>
      <c r="G16" s="10">
        <f>E16*F16</f>
        <v>8037.9432608943243</v>
      </c>
      <c r="H16" s="10">
        <f>E16*(1-F16)</f>
        <v>12056.914891341487</v>
      </c>
    </row>
    <row r="17" spans="1:8" x14ac:dyDescent="0.25">
      <c r="D17" s="339" t="s">
        <v>406</v>
      </c>
      <c r="E17" s="6">
        <f>SUM(E4:E16)</f>
        <v>1238877.9945385233</v>
      </c>
      <c r="G17" s="6">
        <f>SUM(G4:G16)</f>
        <v>495551.19781540934</v>
      </c>
      <c r="H17" s="6">
        <f>SUM(H4:H16)</f>
        <v>743326.79672311386</v>
      </c>
    </row>
    <row r="18" spans="1:8" ht="5.15" customHeight="1" x14ac:dyDescent="0.25"/>
    <row r="19" spans="1:8" x14ac:dyDescent="0.25">
      <c r="A19" s="17" t="s">
        <v>423</v>
      </c>
      <c r="B19" t="s">
        <v>407</v>
      </c>
      <c r="C19" t="s">
        <v>398</v>
      </c>
      <c r="D19" t="s">
        <v>278</v>
      </c>
      <c r="E19" s="6">
        <v>19251.36803745116</v>
      </c>
      <c r="F19" s="161">
        <v>0.23</v>
      </c>
      <c r="G19" s="6">
        <f>E19*F19</f>
        <v>4427.8146486137675</v>
      </c>
      <c r="H19" s="6">
        <f>E19*(1-F19)</f>
        <v>14823.553388837394</v>
      </c>
    </row>
    <row r="20" spans="1:8" x14ac:dyDescent="0.25">
      <c r="D20" t="s">
        <v>373</v>
      </c>
      <c r="E20" s="6">
        <v>10172.844463047151</v>
      </c>
      <c r="F20" s="161">
        <v>0.23</v>
      </c>
      <c r="G20" s="6">
        <f>E20*F20</f>
        <v>2339.7542265008451</v>
      </c>
      <c r="H20" s="6">
        <f>E20*(1-F20)</f>
        <v>7833.0902365463071</v>
      </c>
    </row>
    <row r="21" spans="1:8" x14ac:dyDescent="0.25">
      <c r="D21" t="s">
        <v>279</v>
      </c>
      <c r="E21" s="6">
        <v>464.31149527179434</v>
      </c>
      <c r="F21" s="161">
        <v>0.23</v>
      </c>
      <c r="G21" s="6">
        <f>E21*F21</f>
        <v>106.7916439125127</v>
      </c>
      <c r="H21" s="6">
        <f>E21*(1-F21)</f>
        <v>357.51985135928163</v>
      </c>
    </row>
    <row r="22" spans="1:8" x14ac:dyDescent="0.25">
      <c r="E22" s="6"/>
      <c r="F22" s="6"/>
      <c r="G22" s="6"/>
      <c r="H22" s="6"/>
    </row>
    <row r="23" spans="1:8" x14ac:dyDescent="0.25">
      <c r="B23" t="s">
        <v>408</v>
      </c>
      <c r="C23" t="s">
        <v>398</v>
      </c>
      <c r="D23" t="s">
        <v>278</v>
      </c>
      <c r="E23" s="6">
        <v>4149.4472636032942</v>
      </c>
      <c r="F23" s="161">
        <v>0.23</v>
      </c>
      <c r="G23" s="6">
        <f>E23*F23</f>
        <v>954.37287062875771</v>
      </c>
      <c r="H23" s="6">
        <f>E23*(1-F23)</f>
        <v>3195.0743929745367</v>
      </c>
    </row>
    <row r="24" spans="1:8" x14ac:dyDescent="0.25">
      <c r="D24" t="s">
        <v>373</v>
      </c>
      <c r="E24" s="6">
        <v>232.15110246184045</v>
      </c>
      <c r="F24" s="161">
        <v>0.23</v>
      </c>
      <c r="G24" s="6">
        <f>E24*F24</f>
        <v>53.394753566223308</v>
      </c>
      <c r="H24" s="6">
        <f>E24*(1-F24)</f>
        <v>178.75634889561715</v>
      </c>
    </row>
    <row r="25" spans="1:8" x14ac:dyDescent="0.25">
      <c r="D25" t="s">
        <v>279</v>
      </c>
      <c r="E25" s="6">
        <v>5318.2014464348731</v>
      </c>
      <c r="F25" s="161">
        <v>0.23</v>
      </c>
      <c r="G25" s="6">
        <f>E25*F25</f>
        <v>1223.1863326800208</v>
      </c>
      <c r="H25" s="6">
        <f>E25*(1-F25)</f>
        <v>4095.0151137548523</v>
      </c>
    </row>
    <row r="26" spans="1:8" x14ac:dyDescent="0.25">
      <c r="E26" s="6"/>
      <c r="F26" s="6"/>
      <c r="G26" s="6"/>
      <c r="H26" s="6"/>
    </row>
    <row r="27" spans="1:8" x14ac:dyDescent="0.25">
      <c r="B27" t="s">
        <v>407</v>
      </c>
      <c r="C27" s="11" t="s">
        <v>49</v>
      </c>
      <c r="D27" t="s">
        <v>373</v>
      </c>
      <c r="E27" s="6">
        <v>1061.5090419289547</v>
      </c>
      <c r="F27" s="161">
        <v>0.23</v>
      </c>
      <c r="G27" s="6">
        <f>E27*F27</f>
        <v>244.14707964365959</v>
      </c>
      <c r="H27" s="6">
        <f>E27*(1-F27)</f>
        <v>817.36196228529514</v>
      </c>
    </row>
    <row r="28" spans="1:8" x14ac:dyDescent="0.25">
      <c r="C28" s="11" t="s">
        <v>661</v>
      </c>
      <c r="D28" t="s">
        <v>279</v>
      </c>
      <c r="E28" s="6">
        <v>0</v>
      </c>
      <c r="F28" s="161">
        <v>0.23</v>
      </c>
      <c r="G28" s="6">
        <f>E28*F28</f>
        <v>0</v>
      </c>
      <c r="H28" s="6">
        <f>E28*(1-F28)</f>
        <v>0</v>
      </c>
    </row>
    <row r="29" spans="1:8" x14ac:dyDescent="0.25">
      <c r="E29" s="6"/>
      <c r="F29" s="161"/>
      <c r="G29" s="6"/>
      <c r="H29" s="6"/>
    </row>
    <row r="30" spans="1:8" x14ac:dyDescent="0.25">
      <c r="B30" t="s">
        <v>400</v>
      </c>
      <c r="C30" s="11" t="s">
        <v>49</v>
      </c>
      <c r="D30" t="s">
        <v>373</v>
      </c>
      <c r="E30" s="6">
        <v>208.5813859112919</v>
      </c>
      <c r="F30" s="161">
        <v>0.23</v>
      </c>
      <c r="G30" s="6">
        <f>E30*F30</f>
        <v>47.973718759597141</v>
      </c>
      <c r="H30" s="6">
        <f>E30*(1-F30)</f>
        <v>160.60766715169476</v>
      </c>
    </row>
    <row r="31" spans="1:8" x14ac:dyDescent="0.25">
      <c r="B31" s="204"/>
      <c r="C31" s="238" t="s">
        <v>49</v>
      </c>
      <c r="D31" s="204" t="s">
        <v>279</v>
      </c>
      <c r="E31" s="10">
        <v>1057.6241132755699</v>
      </c>
      <c r="F31" s="340">
        <v>0.23</v>
      </c>
      <c r="G31" s="10">
        <f>E31*F31</f>
        <v>243.25354605338109</v>
      </c>
      <c r="H31" s="10">
        <f>E31*(1-F31)</f>
        <v>814.37056722218881</v>
      </c>
    </row>
    <row r="32" spans="1:8" x14ac:dyDescent="0.25">
      <c r="D32" s="339" t="s">
        <v>405</v>
      </c>
      <c r="E32" s="6">
        <f>SUM(E19:E31)</f>
        <v>41916.038349385926</v>
      </c>
      <c r="F32" s="6"/>
      <c r="G32" s="6">
        <f>SUM(G19:G31)</f>
        <v>9640.6888203587641</v>
      </c>
      <c r="H32" s="6">
        <f>SUM(H19:H31)</f>
        <v>32275.349529027168</v>
      </c>
    </row>
    <row r="33" spans="1:8" ht="5.15" customHeight="1" x14ac:dyDescent="0.25"/>
    <row r="34" spans="1:8" x14ac:dyDescent="0.25">
      <c r="A34" s="17" t="s">
        <v>424</v>
      </c>
      <c r="B34" t="s">
        <v>407</v>
      </c>
      <c r="C34" s="11" t="s">
        <v>409</v>
      </c>
      <c r="D34" t="s">
        <v>373</v>
      </c>
      <c r="E34" s="6">
        <v>797171.16840633238</v>
      </c>
      <c r="F34" s="161">
        <v>0.4</v>
      </c>
      <c r="G34" s="6">
        <f>E34*F34</f>
        <v>318868.46736253297</v>
      </c>
      <c r="H34" s="6">
        <f>E34*(1-F34)</f>
        <v>478302.7010437994</v>
      </c>
    </row>
    <row r="35" spans="1:8" x14ac:dyDescent="0.25">
      <c r="E35" s="6"/>
      <c r="F35" s="6"/>
      <c r="G35" s="6"/>
      <c r="H35" s="6"/>
    </row>
    <row r="36" spans="1:8" x14ac:dyDescent="0.25">
      <c r="B36" t="s">
        <v>400</v>
      </c>
      <c r="C36" t="s">
        <v>409</v>
      </c>
      <c r="D36" t="s">
        <v>373</v>
      </c>
      <c r="E36" s="6">
        <v>96562.850664625395</v>
      </c>
      <c r="F36" s="161">
        <v>0.4</v>
      </c>
      <c r="G36" s="6">
        <f>E36*F36</f>
        <v>38625.140265850161</v>
      </c>
      <c r="H36" s="6">
        <f>E36*(1-F36)</f>
        <v>57937.710398775234</v>
      </c>
    </row>
    <row r="37" spans="1:8" x14ac:dyDescent="0.25">
      <c r="B37" s="204"/>
      <c r="C37" s="204"/>
      <c r="D37" s="204" t="s">
        <v>279</v>
      </c>
      <c r="E37" s="10">
        <v>270582.94319206179</v>
      </c>
      <c r="F37" s="340">
        <v>0.4</v>
      </c>
      <c r="G37" s="10">
        <f>E37*F37</f>
        <v>108233.17727682472</v>
      </c>
      <c r="H37" s="10">
        <f>E37*(1-F37)</f>
        <v>162349.76591523708</v>
      </c>
    </row>
    <row r="38" spans="1:8" x14ac:dyDescent="0.25">
      <c r="D38" s="339" t="s">
        <v>413</v>
      </c>
      <c r="E38" s="6">
        <f>SUM(E34:E37)</f>
        <v>1164316.9622630195</v>
      </c>
      <c r="F38" s="6"/>
      <c r="G38" s="6">
        <f>SUM(G34:G37)</f>
        <v>465726.78490520787</v>
      </c>
      <c r="H38" s="6">
        <f>SUM(H34:H37)</f>
        <v>698590.17735781171</v>
      </c>
    </row>
    <row r="39" spans="1:8" ht="5.15" customHeight="1" x14ac:dyDescent="0.25">
      <c r="D39" s="339"/>
      <c r="E39" s="6"/>
      <c r="F39" s="6"/>
      <c r="G39" s="6"/>
      <c r="H39" s="6"/>
    </row>
    <row r="40" spans="1:8" x14ac:dyDescent="0.25">
      <c r="D40" s="339" t="s">
        <v>428</v>
      </c>
      <c r="E40" s="6">
        <f>SUM(E17,E32,E38)</f>
        <v>2445110.9951509284</v>
      </c>
      <c r="F40" s="6"/>
      <c r="G40" s="6">
        <f>SUM(G17,G32,G38)</f>
        <v>970918.67154097604</v>
      </c>
      <c r="H40" s="6">
        <f>SUM(H17,H32,H38)</f>
        <v>1474192.3236099528</v>
      </c>
    </row>
    <row r="41" spans="1:8" ht="5.15" customHeight="1" x14ac:dyDescent="0.25">
      <c r="D41" s="339"/>
      <c r="E41" s="6"/>
      <c r="F41" s="6"/>
      <c r="G41" s="6"/>
      <c r="H41" s="6"/>
    </row>
    <row r="42" spans="1:8" x14ac:dyDescent="0.25">
      <c r="D42" s="11" t="s">
        <v>418</v>
      </c>
      <c r="E42" s="6"/>
      <c r="F42" s="6"/>
      <c r="G42" s="6"/>
      <c r="H42" s="6"/>
    </row>
    <row r="43" spans="1:8" x14ac:dyDescent="0.25">
      <c r="D43" s="13" t="s">
        <v>425</v>
      </c>
      <c r="E43" s="6"/>
      <c r="F43" s="6"/>
      <c r="G43" s="6"/>
      <c r="H43" s="6">
        <v>29365.315999999999</v>
      </c>
    </row>
    <row r="44" spans="1:8" x14ac:dyDescent="0.25">
      <c r="D44" s="343" t="s">
        <v>426</v>
      </c>
      <c r="E44" s="10"/>
      <c r="F44" s="10"/>
      <c r="G44" s="10"/>
      <c r="H44" s="10">
        <v>11289.797488192518</v>
      </c>
    </row>
    <row r="45" spans="1:8" x14ac:dyDescent="0.25">
      <c r="D45" s="339" t="s">
        <v>427</v>
      </c>
      <c r="E45" s="6"/>
      <c r="F45" s="6"/>
      <c r="G45" s="6"/>
      <c r="H45" s="6">
        <f>SUM(H43:H44)</f>
        <v>40655.113488192517</v>
      </c>
    </row>
    <row r="46" spans="1:8" ht="5.15" customHeight="1" x14ac:dyDescent="0.25">
      <c r="D46" s="339"/>
      <c r="E46" s="6"/>
      <c r="F46" s="6"/>
      <c r="G46" s="6"/>
      <c r="H46" s="6"/>
    </row>
    <row r="47" spans="1:8" ht="13" x14ac:dyDescent="0.3">
      <c r="D47" s="97" t="s">
        <v>429</v>
      </c>
      <c r="E47" s="6">
        <f>E40+E45</f>
        <v>2445110.9951509284</v>
      </c>
      <c r="F47" s="6"/>
      <c r="G47" s="6">
        <f>G40+G45</f>
        <v>970918.67154097604</v>
      </c>
      <c r="H47" s="6">
        <f>H40+H45</f>
        <v>1514847.4370981453</v>
      </c>
    </row>
    <row r="48" spans="1:8" hidden="1" x14ac:dyDescent="0.25">
      <c r="D48" s="339"/>
      <c r="E48" s="6"/>
      <c r="F48" s="6"/>
      <c r="G48" s="6"/>
      <c r="H48" s="6"/>
    </row>
    <row r="49" spans="1:8" hidden="1" x14ac:dyDescent="0.25">
      <c r="D49" s="339" t="s">
        <v>191</v>
      </c>
      <c r="E49" s="105">
        <v>0</v>
      </c>
      <c r="F49" s="167"/>
      <c r="G49" s="105">
        <v>0</v>
      </c>
      <c r="H49" s="105">
        <v>0</v>
      </c>
    </row>
    <row r="50" spans="1:8" hidden="1" x14ac:dyDescent="0.25">
      <c r="D50" s="339"/>
      <c r="E50" s="105">
        <v>0</v>
      </c>
      <c r="F50" s="167"/>
      <c r="G50" s="105">
        <v>0</v>
      </c>
      <c r="H50" s="105">
        <v>0</v>
      </c>
    </row>
    <row r="51" spans="1:8" hidden="1" x14ac:dyDescent="0.25">
      <c r="D51" s="339"/>
      <c r="E51" s="105">
        <v>0</v>
      </c>
      <c r="F51" s="167"/>
      <c r="G51" s="105">
        <v>0</v>
      </c>
      <c r="H51" s="105">
        <v>0</v>
      </c>
    </row>
    <row r="52" spans="1:8" hidden="1" x14ac:dyDescent="0.25">
      <c r="D52" s="339"/>
      <c r="E52" s="6"/>
      <c r="F52" s="6"/>
      <c r="G52" s="6"/>
      <c r="H52" s="105">
        <v>0</v>
      </c>
    </row>
    <row r="53" spans="1:8" x14ac:dyDescent="0.25">
      <c r="A53" s="103"/>
      <c r="B53" s="204"/>
      <c r="C53" s="213"/>
      <c r="D53" s="213"/>
      <c r="E53" s="213"/>
      <c r="F53" s="28"/>
      <c r="G53" s="28"/>
      <c r="H53" s="28"/>
    </row>
    <row r="54" spans="1:8" x14ac:dyDescent="0.25">
      <c r="A54" s="4" t="s">
        <v>235</v>
      </c>
      <c r="C54" s="28"/>
      <c r="D54" s="28"/>
      <c r="E54" s="28"/>
      <c r="F54" s="28"/>
      <c r="G54" s="28"/>
      <c r="H54" s="28"/>
    </row>
    <row r="55" spans="1:8" x14ac:dyDescent="0.25">
      <c r="A55" s="17" t="s">
        <v>811</v>
      </c>
      <c r="C55" s="28"/>
      <c r="D55" s="28"/>
      <c r="E55" s="28"/>
      <c r="F55" s="28"/>
      <c r="G55" s="28"/>
      <c r="H55" s="28"/>
    </row>
    <row r="56" spans="1:8" x14ac:dyDescent="0.25">
      <c r="A56" s="17" t="s">
        <v>430</v>
      </c>
    </row>
    <row r="57" spans="1:8" x14ac:dyDescent="0.25">
      <c r="A57" s="17" t="s">
        <v>50</v>
      </c>
    </row>
    <row r="58" spans="1:8" x14ac:dyDescent="0.25">
      <c r="A58" s="17" t="s">
        <v>659</v>
      </c>
    </row>
    <row r="59" spans="1:8" x14ac:dyDescent="0.25">
      <c r="A59" s="17" t="s">
        <v>38</v>
      </c>
    </row>
    <row r="60" spans="1:8" x14ac:dyDescent="0.25">
      <c r="A60" s="17" t="s">
        <v>662</v>
      </c>
    </row>
  </sheetData>
  <phoneticPr fontId="5" type="noConversion"/>
  <printOptions horizontalCentered="1"/>
  <pageMargins left="0.75" right="0.75" top="1" bottom="1" header="0.5" footer="0.5"/>
  <pageSetup scale="69" orientation="landscape" r:id="rId1"/>
  <headerFooter alignWithMargins="0">
    <oddFooter>&amp;L&amp;F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fitToPage="1"/>
  </sheetPr>
  <dimension ref="A1:K51"/>
  <sheetViews>
    <sheetView zoomScale="70" workbookViewId="0"/>
  </sheetViews>
  <sheetFormatPr defaultRowHeight="12.5" x14ac:dyDescent="0.25"/>
  <cols>
    <col min="1" max="1" width="50" customWidth="1"/>
    <col min="2" max="2" width="11.6328125" customWidth="1"/>
    <col min="3" max="3" width="3.453125" customWidth="1"/>
    <col min="4" max="4" width="11.6328125" customWidth="1"/>
    <col min="5" max="5" width="3.453125" customWidth="1"/>
    <col min="6" max="6" width="11.6328125" customWidth="1"/>
    <col min="7" max="7" width="3.453125" customWidth="1"/>
    <col min="8" max="8" width="11.6328125" customWidth="1"/>
    <col min="9" max="9" width="3.453125" customWidth="1"/>
    <col min="10" max="10" width="11.6328125" customWidth="1"/>
  </cols>
  <sheetData>
    <row r="1" spans="1:10" s="12" customFormat="1" ht="15.5" x14ac:dyDescent="0.35">
      <c r="A1" s="117" t="s">
        <v>547</v>
      </c>
      <c r="B1" s="16"/>
      <c r="C1" s="16"/>
      <c r="D1" s="16"/>
      <c r="E1" s="16"/>
      <c r="F1" s="16"/>
      <c r="G1" s="16"/>
      <c r="H1" s="16"/>
      <c r="I1" s="16"/>
      <c r="J1" s="16"/>
    </row>
    <row r="2" spans="1:10" s="12" customFormat="1" ht="15.5" x14ac:dyDescent="0.35">
      <c r="A2" s="117" t="s">
        <v>787</v>
      </c>
      <c r="B2" s="16"/>
      <c r="C2" s="16"/>
      <c r="D2" s="16"/>
      <c r="E2" s="16"/>
      <c r="F2" s="16"/>
      <c r="G2" s="16"/>
      <c r="H2" s="16"/>
      <c r="I2" s="16"/>
      <c r="J2" s="16"/>
    </row>
    <row r="3" spans="1:10" ht="25" x14ac:dyDescent="0.25">
      <c r="B3" s="125" t="s">
        <v>109</v>
      </c>
      <c r="C3" s="125"/>
      <c r="D3" s="126" t="s">
        <v>104</v>
      </c>
      <c r="E3" s="126"/>
      <c r="F3" s="125" t="s">
        <v>110</v>
      </c>
      <c r="G3" s="125"/>
      <c r="H3" s="127" t="s">
        <v>97</v>
      </c>
      <c r="I3" s="127"/>
      <c r="J3" s="128" t="s">
        <v>105</v>
      </c>
    </row>
    <row r="4" spans="1:10" ht="12.75" customHeight="1" x14ac:dyDescent="0.3">
      <c r="A4" s="14"/>
    </row>
    <row r="5" spans="1:10" ht="12.75" customHeight="1" x14ac:dyDescent="0.3">
      <c r="A5" s="14" t="s">
        <v>574</v>
      </c>
      <c r="B5" s="6"/>
      <c r="D5" s="61"/>
      <c r="F5" s="108"/>
    </row>
    <row r="6" spans="1:10" ht="12.75" customHeight="1" x14ac:dyDescent="0.25">
      <c r="A6" s="258" t="s">
        <v>524</v>
      </c>
      <c r="B6" s="6">
        <f>'Table 3.3-PARS Fwd Summary'!B10</f>
        <v>465067.46024999989</v>
      </c>
      <c r="C6" s="11"/>
      <c r="D6" s="61">
        <f>F6/B6</f>
        <v>0.13471408673248983</v>
      </c>
      <c r="F6" s="81">
        <f>'Table 3.3-PARS Fwd Summary'!F10</f>
        <v>62651.138176577246</v>
      </c>
      <c r="G6" s="11"/>
      <c r="H6" s="99">
        <f>B6/$B$34</f>
        <v>0.84842892267172842</v>
      </c>
      <c r="J6" s="19">
        <f>D6*H6</f>
        <v>0.11429532747515213</v>
      </c>
    </row>
    <row r="7" spans="1:10" ht="12.75" customHeight="1" x14ac:dyDescent="0.25">
      <c r="A7" s="258" t="s">
        <v>525</v>
      </c>
      <c r="B7" s="6">
        <f>'Table 3.3-PARS Fwd Summary'!B20</f>
        <v>24477.234750000032</v>
      </c>
      <c r="C7" s="11"/>
      <c r="D7" s="61">
        <f>F7/B7</f>
        <v>0.2149344766947395</v>
      </c>
      <c r="F7" s="81">
        <f>'Table 3.3-PARS Fwd Summary'!F20</f>
        <v>5261.0016419255498</v>
      </c>
      <c r="G7" s="11"/>
      <c r="H7" s="99">
        <f>B7/$B$34</f>
        <v>4.4654153824827882E-2</v>
      </c>
      <c r="J7" s="19">
        <f>D7*H7</f>
        <v>9.5977171845857811E-3</v>
      </c>
    </row>
    <row r="8" spans="1:10" ht="12.75" customHeight="1" x14ac:dyDescent="0.25">
      <c r="A8" s="258" t="s">
        <v>102</v>
      </c>
      <c r="B8" s="6">
        <f>SUM(B6:B7)</f>
        <v>489544.69499999995</v>
      </c>
      <c r="D8" s="61">
        <f>F8/B8</f>
        <v>0.1387251062306023</v>
      </c>
      <c r="F8" s="81">
        <f>SUM(F6:F7)</f>
        <v>67912.139818502794</v>
      </c>
      <c r="H8" s="99">
        <f>B8/$B$34</f>
        <v>0.89308307649655638</v>
      </c>
      <c r="J8" s="19">
        <f>SUM(J6:J7)</f>
        <v>0.12389304465973791</v>
      </c>
    </row>
    <row r="9" spans="1:10" ht="5.15" customHeight="1" x14ac:dyDescent="0.25">
      <c r="A9" s="258"/>
      <c r="B9" s="6"/>
      <c r="F9" s="81"/>
      <c r="H9" s="104"/>
      <c r="J9" s="19"/>
    </row>
    <row r="10" spans="1:10" ht="12.75" customHeight="1" x14ac:dyDescent="0.25">
      <c r="A10" s="258" t="s">
        <v>517</v>
      </c>
      <c r="B10" s="6"/>
      <c r="F10" s="81"/>
      <c r="H10" s="104"/>
      <c r="J10" s="19"/>
    </row>
    <row r="11" spans="1:10" ht="12.75" customHeight="1" x14ac:dyDescent="0.25">
      <c r="A11" s="367" t="s">
        <v>320</v>
      </c>
      <c r="B11" s="6">
        <f>'Table 3.3-PARS Fwd Summary'!B23</f>
        <v>489544.69499999995</v>
      </c>
      <c r="C11" s="11"/>
      <c r="D11" s="61">
        <f>F11/B11</f>
        <v>0.12956115630784704</v>
      </c>
      <c r="F11" s="81">
        <f>'Table 3.3-PARS Fwd Summary'!F23</f>
        <v>63425.976748572299</v>
      </c>
      <c r="G11" s="11"/>
      <c r="H11" s="99">
        <f>B11/$B$34</f>
        <v>0.89308307649655638</v>
      </c>
      <c r="J11" s="19">
        <f>D11*H11</f>
        <v>0.11570887606986326</v>
      </c>
    </row>
    <row r="12" spans="1:10" ht="12.75" customHeight="1" x14ac:dyDescent="0.25">
      <c r="A12" s="367" t="s">
        <v>99</v>
      </c>
      <c r="B12" s="6">
        <f>'Table 3.3-PARS Fwd Summary'!B24</f>
        <v>0</v>
      </c>
      <c r="C12" s="11"/>
      <c r="D12" s="61">
        <v>0</v>
      </c>
      <c r="F12" s="81">
        <f>'Table 3.3-PARS Fwd Summary'!F24</f>
        <v>0</v>
      </c>
      <c r="H12" s="99">
        <f>B12/$B$34</f>
        <v>0</v>
      </c>
      <c r="J12" s="19">
        <f>D12*H12</f>
        <v>0</v>
      </c>
    </row>
    <row r="13" spans="1:10" ht="12.75" customHeight="1" x14ac:dyDescent="0.25">
      <c r="A13" s="367" t="s">
        <v>100</v>
      </c>
      <c r="B13" s="6">
        <f>'Table 3.3-PARS Fwd Summary'!B25</f>
        <v>0</v>
      </c>
      <c r="D13" s="61">
        <v>0</v>
      </c>
      <c r="F13" s="81">
        <f>'Table 3.3-PARS Fwd Summary'!F25</f>
        <v>0</v>
      </c>
      <c r="H13" s="99">
        <f>B13/$B$34</f>
        <v>0</v>
      </c>
      <c r="J13" s="19">
        <f>D13*H13</f>
        <v>0</v>
      </c>
    </row>
    <row r="14" spans="1:10" ht="12.75" customHeight="1" x14ac:dyDescent="0.25">
      <c r="A14" s="367" t="s">
        <v>210</v>
      </c>
      <c r="B14" s="6">
        <f>'Table 3.3-PARS Fwd Summary'!B26</f>
        <v>0</v>
      </c>
      <c r="D14" s="61">
        <v>0</v>
      </c>
      <c r="F14" s="81">
        <f>'Table 3.3-PARS Fwd Summary'!F26</f>
        <v>0</v>
      </c>
      <c r="H14" s="99">
        <f>B14/$B$34</f>
        <v>0</v>
      </c>
      <c r="J14" s="19">
        <f>D14*H14</f>
        <v>0</v>
      </c>
    </row>
    <row r="15" spans="1:10" ht="12.75" customHeight="1" x14ac:dyDescent="0.25">
      <c r="A15" s="250" t="s">
        <v>102</v>
      </c>
      <c r="B15" s="6">
        <f>B11</f>
        <v>489544.69499999995</v>
      </c>
      <c r="D15" s="61">
        <f>F15/B15</f>
        <v>0.12956115630784704</v>
      </c>
      <c r="F15" s="81">
        <f>SUM(F11:F14)</f>
        <v>63425.976748572299</v>
      </c>
      <c r="H15" s="99">
        <f>B15/$B$34</f>
        <v>0.89308307649655638</v>
      </c>
      <c r="J15" s="19">
        <f>SUM(J11:J14)</f>
        <v>0.11570887606986326</v>
      </c>
    </row>
    <row r="16" spans="1:10" ht="5.15" customHeight="1" x14ac:dyDescent="0.25">
      <c r="A16" s="258"/>
      <c r="B16" s="6"/>
      <c r="F16" s="81"/>
      <c r="H16" s="104"/>
      <c r="J16" s="19"/>
    </row>
    <row r="17" spans="1:10" ht="12.75" customHeight="1" x14ac:dyDescent="0.25">
      <c r="A17" s="258" t="s">
        <v>504</v>
      </c>
      <c r="B17" s="6">
        <f>B8</f>
        <v>489544.69499999995</v>
      </c>
      <c r="D17" s="61">
        <f>F17/B17</f>
        <v>0.26828626253844928</v>
      </c>
      <c r="F17" s="81">
        <f>SUM(F8,F15)</f>
        <v>131338.11656707508</v>
      </c>
      <c r="H17" s="99">
        <f>B17/$B$34</f>
        <v>0.89308307649655638</v>
      </c>
      <c r="J17" s="19">
        <f>J8+J15</f>
        <v>0.23960192072960118</v>
      </c>
    </row>
    <row r="18" spans="1:10" ht="12.75" customHeight="1" x14ac:dyDescent="0.25">
      <c r="A18" s="11"/>
      <c r="B18" s="6"/>
      <c r="F18" s="81"/>
      <c r="H18" s="104"/>
      <c r="J18" s="19"/>
    </row>
    <row r="19" spans="1:10" ht="12.75" customHeight="1" x14ac:dyDescent="0.3">
      <c r="A19" s="14" t="s">
        <v>479</v>
      </c>
      <c r="B19" s="6"/>
      <c r="D19" s="61"/>
      <c r="F19" s="81"/>
      <c r="H19" s="104"/>
      <c r="J19" s="19"/>
    </row>
    <row r="20" spans="1:10" ht="12.75" customHeight="1" x14ac:dyDescent="0.25">
      <c r="A20" s="258" t="s">
        <v>526</v>
      </c>
      <c r="B20" s="6">
        <f>'Table 3.4-NonPARS Fwd Summary'!B8</f>
        <v>36102.169892335434</v>
      </c>
      <c r="D20" s="61">
        <f>F20/B20</f>
        <v>0.2624982527912218</v>
      </c>
      <c r="F20" s="81">
        <f>'Table 3.4-NonPARS Fwd Summary'!F8</f>
        <v>9476.7565187099044</v>
      </c>
      <c r="H20" s="99">
        <f>B20/$B$34</f>
        <v>6.5861681854500101E-2</v>
      </c>
      <c r="J20" s="19">
        <f>D20*H20</f>
        <v>1.7288576412697595E-2</v>
      </c>
    </row>
    <row r="21" spans="1:10" ht="12.75" customHeight="1" x14ac:dyDescent="0.25">
      <c r="A21" s="258" t="s">
        <v>527</v>
      </c>
      <c r="B21" s="6">
        <f>'Table 3.4-NonPARS Fwd Summary'!B14</f>
        <v>22504.486178404059</v>
      </c>
      <c r="D21" s="61">
        <f>F21/B21</f>
        <v>0.41947786229078809</v>
      </c>
      <c r="F21" s="81">
        <f>'Table 3.4-NonPARS Fwd Summary'!F14</f>
        <v>9440.1337540695222</v>
      </c>
      <c r="H21" s="99">
        <f>B21/$B$34</f>
        <v>4.1055241648943475E-2</v>
      </c>
      <c r="J21" s="19">
        <f>D21*H21</f>
        <v>1.7221765002730538E-2</v>
      </c>
    </row>
    <row r="22" spans="1:10" ht="12.75" customHeight="1" x14ac:dyDescent="0.25">
      <c r="A22" s="258" t="s">
        <v>102</v>
      </c>
      <c r="B22" s="6">
        <f>SUM(B20:B21)</f>
        <v>58606.656070739496</v>
      </c>
      <c r="D22" s="61">
        <f>F22/B22</f>
        <v>0.32277716459281236</v>
      </c>
      <c r="F22" s="81">
        <f>SUM(F20:F21)</f>
        <v>18916.890272779427</v>
      </c>
      <c r="H22" s="99">
        <f>B22/$B$34</f>
        <v>0.10691692350344358</v>
      </c>
      <c r="J22" s="19">
        <f>SUM(J20:J21)</f>
        <v>3.4510341415428136E-2</v>
      </c>
    </row>
    <row r="23" spans="1:10" ht="5.15" customHeight="1" x14ac:dyDescent="0.25">
      <c r="A23" s="258"/>
      <c r="B23" s="6"/>
      <c r="D23" s="61"/>
      <c r="F23" s="81"/>
      <c r="H23" s="104"/>
      <c r="J23" s="19"/>
    </row>
    <row r="24" spans="1:10" ht="12.75" customHeight="1" x14ac:dyDescent="0.25">
      <c r="A24" s="258" t="s">
        <v>517</v>
      </c>
      <c r="B24" s="6"/>
      <c r="D24" s="61"/>
      <c r="F24" s="81"/>
      <c r="H24" s="104"/>
      <c r="J24" s="19"/>
    </row>
    <row r="25" spans="1:10" ht="12.75" customHeight="1" x14ac:dyDescent="0.25">
      <c r="A25" s="367" t="s">
        <v>320</v>
      </c>
      <c r="B25" s="6">
        <f>'Table 3.4-NonPARS Fwd Summary'!B17</f>
        <v>58606.656070739496</v>
      </c>
      <c r="D25" s="61">
        <f t="shared" ref="D25:D30" si="0">F25/B25</f>
        <v>0.441396405365716</v>
      </c>
      <c r="F25" s="81">
        <f>'Table 3.4-NonPARS Fwd Summary'!F17</f>
        <v>25868.767320129231</v>
      </c>
      <c r="H25" s="99">
        <f t="shared" ref="H25:H30" si="1">B25/$B$34</f>
        <v>0.10691692350344358</v>
      </c>
      <c r="J25" s="19">
        <f>D25*H25</f>
        <v>4.7192745707181231E-2</v>
      </c>
    </row>
    <row r="26" spans="1:10" ht="12.75" customHeight="1" x14ac:dyDescent="0.25">
      <c r="A26" s="367" t="s">
        <v>99</v>
      </c>
      <c r="B26" s="6">
        <f>'Table 3.4-NonPARS Fwd Summary'!B18</f>
        <v>1062.0566745539847</v>
      </c>
      <c r="D26" s="61">
        <f t="shared" si="0"/>
        <v>3.2507701047636774</v>
      </c>
      <c r="F26" s="81">
        <f>'Table 3.4-NonPARS Fwd Summary'!F18</f>
        <v>3452.5020872048199</v>
      </c>
      <c r="H26" s="99">
        <f t="shared" si="1"/>
        <v>1.9375245039155715E-3</v>
      </c>
      <c r="J26" s="19">
        <f>D26*H26</f>
        <v>6.2984467345758143E-3</v>
      </c>
    </row>
    <row r="27" spans="1:10" ht="12.75" customHeight="1" x14ac:dyDescent="0.25">
      <c r="A27" s="367" t="s">
        <v>100</v>
      </c>
      <c r="B27" s="6">
        <f>'Table 3.4-NonPARS Fwd Summary'!B19</f>
        <v>791.03251917893294</v>
      </c>
      <c r="D27" s="61">
        <f t="shared" si="0"/>
        <v>0.89988403767786551</v>
      </c>
      <c r="F27" s="81">
        <f>'Table 3.4-NonPARS Fwd Summary'!F19</f>
        <v>711.83753729323178</v>
      </c>
      <c r="H27" s="99">
        <f t="shared" si="1"/>
        <v>1.4430914338416899E-3</v>
      </c>
      <c r="J27" s="19">
        <f>D27*H27</f>
        <v>1.2986149462238003E-3</v>
      </c>
    </row>
    <row r="28" spans="1:10" ht="12.75" customHeight="1" x14ac:dyDescent="0.25">
      <c r="A28" s="367" t="s">
        <v>210</v>
      </c>
      <c r="B28" s="6">
        <f>'Table 3.4-NonPARS Fwd Summary'!B20</f>
        <v>271.02415537505181</v>
      </c>
      <c r="D28" s="61">
        <f t="shared" si="0"/>
        <v>0.49923740110555231</v>
      </c>
      <c r="F28" s="81">
        <f>'Table 3.4-NonPARS Fwd Summary'!F20</f>
        <v>135.30539496626827</v>
      </c>
      <c r="H28" s="99">
        <f t="shared" si="1"/>
        <v>4.9443307007388166E-4</v>
      </c>
      <c r="J28" s="19">
        <f>D28*H28</f>
        <v>2.4683948092432413E-4</v>
      </c>
    </row>
    <row r="29" spans="1:10" ht="12.75" customHeight="1" x14ac:dyDescent="0.25">
      <c r="A29" s="367" t="s">
        <v>101</v>
      </c>
      <c r="B29" s="6">
        <f>'Table 3.4-NonPARS Fwd Summary'!B21</f>
        <v>664.20803218916615</v>
      </c>
      <c r="D29" s="61">
        <f t="shared" si="0"/>
        <v>5.403610386172959</v>
      </c>
      <c r="F29" s="81">
        <f>'Table 3.4-NonPARS Fwd Summary'!F21</f>
        <v>3589.1214213168814</v>
      </c>
      <c r="H29" s="99">
        <f t="shared" si="1"/>
        <v>1.2117237892266901E-3</v>
      </c>
      <c r="J29" s="19">
        <f>D29*H29</f>
        <v>6.5476832526381963E-3</v>
      </c>
    </row>
    <row r="30" spans="1:10" ht="12.75" customHeight="1" x14ac:dyDescent="0.25">
      <c r="A30" s="250" t="s">
        <v>102</v>
      </c>
      <c r="B30" s="6">
        <f>B25</f>
        <v>58606.656070739496</v>
      </c>
      <c r="D30" s="61">
        <f t="shared" si="0"/>
        <v>0.57600170397308392</v>
      </c>
      <c r="F30" s="81">
        <f>SUM(F25:F29)</f>
        <v>33757.533760910432</v>
      </c>
      <c r="H30" s="99">
        <f t="shared" si="1"/>
        <v>0.10691692350344358</v>
      </c>
      <c r="J30" s="19">
        <f>SUM(J25:J29)</f>
        <v>6.1584330121543365E-2</v>
      </c>
    </row>
    <row r="31" spans="1:10" ht="5.15" customHeight="1" x14ac:dyDescent="0.25">
      <c r="A31" s="258"/>
      <c r="B31" s="6"/>
      <c r="D31" s="61"/>
      <c r="F31" s="81"/>
      <c r="H31" s="104"/>
      <c r="J31" s="19"/>
    </row>
    <row r="32" spans="1:10" ht="12.75" customHeight="1" x14ac:dyDescent="0.25">
      <c r="A32" s="166" t="s">
        <v>494</v>
      </c>
      <c r="B32" s="6">
        <f>B22</f>
        <v>58606.656070739496</v>
      </c>
      <c r="D32" s="61">
        <f>F32/B32</f>
        <v>0.89877886856589628</v>
      </c>
      <c r="F32" s="81">
        <f>SUM(F22,F30)</f>
        <v>52674.424033689858</v>
      </c>
      <c r="H32" s="99">
        <f>B32/$B$34</f>
        <v>0.10691692350344358</v>
      </c>
      <c r="J32" s="19">
        <f>J22+J30</f>
        <v>9.6094671536971502E-2</v>
      </c>
    </row>
    <row r="33" spans="1:11" ht="12.75" customHeight="1" x14ac:dyDescent="0.25">
      <c r="A33" s="258"/>
      <c r="B33" s="6"/>
      <c r="D33" s="61"/>
      <c r="F33" s="81"/>
      <c r="H33" s="104"/>
      <c r="J33" s="19"/>
    </row>
    <row r="34" spans="1:11" ht="12.75" customHeight="1" x14ac:dyDescent="0.3">
      <c r="A34" s="16" t="s">
        <v>269</v>
      </c>
      <c r="B34" s="260">
        <f>SUM(B17,B32)</f>
        <v>548151.35107073945</v>
      </c>
      <c r="C34" s="5"/>
      <c r="D34" s="259"/>
      <c r="E34" s="5"/>
      <c r="F34" s="370">
        <f>SUM(F17,F32)</f>
        <v>184012.54060076494</v>
      </c>
      <c r="G34" s="5"/>
      <c r="H34" s="369"/>
      <c r="I34" s="5"/>
      <c r="J34" s="259">
        <f>SUM(J17,J32)</f>
        <v>0.33569659226657267</v>
      </c>
    </row>
    <row r="35" spans="1:11" ht="12.75" hidden="1" customHeight="1" x14ac:dyDescent="0.25">
      <c r="A35" s="60"/>
      <c r="B35" s="6"/>
    </row>
    <row r="36" spans="1:11" ht="12.75" hidden="1" customHeight="1" x14ac:dyDescent="0.25">
      <c r="A36" s="60"/>
      <c r="B36" s="6"/>
      <c r="F36" s="81"/>
      <c r="H36" s="104"/>
    </row>
    <row r="37" spans="1:11" ht="12.75" hidden="1" customHeight="1" x14ac:dyDescent="0.25">
      <c r="A37" s="13" t="s">
        <v>191</v>
      </c>
      <c r="B37" s="105">
        <v>0</v>
      </c>
      <c r="D37" s="6"/>
      <c r="F37" s="81"/>
      <c r="G37" s="365" t="s">
        <v>311</v>
      </c>
      <c r="H37" s="75">
        <f>SUM('Table 3.14-Route UAA'!J102,'Table 3.14-Route UAA'!J106)</f>
        <v>7913.366606056773</v>
      </c>
      <c r="J37" s="6">
        <f>'Table 3.3-PARS Fwd Summary'!J32+'Table 3.4-NonPARS Fwd Summary'!J27</f>
        <v>7913.366606056773</v>
      </c>
      <c r="K37" s="105">
        <f t="shared" ref="K37:K44" si="2">H37-J37</f>
        <v>0</v>
      </c>
    </row>
    <row r="38" spans="1:11" ht="12.75" hidden="1" customHeight="1" x14ac:dyDescent="0.25">
      <c r="A38" s="258"/>
      <c r="B38" s="105">
        <v>0</v>
      </c>
      <c r="D38" s="61"/>
      <c r="F38" s="81"/>
      <c r="G38" s="36" t="s">
        <v>312</v>
      </c>
      <c r="H38" s="75">
        <f>SUM('Table 3.18-Nixie UAA'!I6,'Table 3.18-Nixie UAA'!I15,'Table 3.18-Nixie UAA'!I24)+SUM('Table 3.31-Rating Post Due'!H7,'Table 3.31-Rating Post Due'!H12,'Table 3.31-Rating Post Due'!H20)</f>
        <v>5588.6183876997056</v>
      </c>
      <c r="J38" s="6">
        <f>'Table 3.3-PARS Fwd Summary'!J33+'Table 3.4-NonPARS Fwd Summary'!J28</f>
        <v>5588.6183876997047</v>
      </c>
      <c r="K38" s="105">
        <f t="shared" si="2"/>
        <v>0</v>
      </c>
    </row>
    <row r="39" spans="1:11" ht="12.75" hidden="1" customHeight="1" x14ac:dyDescent="0.25">
      <c r="A39" s="258"/>
      <c r="B39" s="105">
        <v>0</v>
      </c>
      <c r="D39" s="61"/>
      <c r="F39" s="81"/>
      <c r="G39" s="36" t="s">
        <v>313</v>
      </c>
      <c r="H39" s="75">
        <f>SUM('Table 3.20-CFS Non-CIOSS'!H9,'Table 3.20-CFS Non-CIOSS'!H45,'Table 3.20-CFS Non-CIOSS'!H56,'Table 3.21-CFS CIOSS Rejs'!H9)</f>
        <v>14146.296258977658</v>
      </c>
      <c r="J39" s="6">
        <f>'Table 3.3-PARS Fwd Summary'!J34+'Table 3.4-NonPARS Fwd Summary'!J29</f>
        <v>14146.296258977658</v>
      </c>
      <c r="K39" s="105">
        <f t="shared" si="2"/>
        <v>0</v>
      </c>
    </row>
    <row r="40" spans="1:11" ht="12.75" hidden="1" customHeight="1" x14ac:dyDescent="0.25">
      <c r="A40" s="258"/>
      <c r="B40" s="6"/>
      <c r="D40" s="61"/>
      <c r="F40" s="81"/>
      <c r="G40" s="365" t="s">
        <v>502</v>
      </c>
      <c r="H40" s="75">
        <f>SUM('Table 3.23-CIOSS Summary'!I4,'Table 3.23-CIOSS Summary'!I8,'Table 3.23-CIOSS Summary'!I11)</f>
        <v>31774.657654754199</v>
      </c>
      <c r="J40" s="6">
        <f>'Table 3.3-PARS Fwd Summary'!J35</f>
        <v>31774.657654754203</v>
      </c>
      <c r="K40" s="105">
        <f t="shared" si="2"/>
        <v>0</v>
      </c>
    </row>
    <row r="41" spans="1:11" ht="12.75" hidden="1" customHeight="1" x14ac:dyDescent="0.25">
      <c r="A41" s="258"/>
      <c r="B41" s="6"/>
      <c r="D41" s="61"/>
      <c r="F41" s="81"/>
      <c r="G41" s="365" t="s">
        <v>503</v>
      </c>
      <c r="H41" s="75">
        <f>'Table 3.25-REC Summary'!K4+'Table 3.25-REC Summary'!K8</f>
        <v>27406.091183793884</v>
      </c>
      <c r="J41" s="6">
        <f>'Table 3.3-PARS Fwd Summary'!J36</f>
        <v>27406.09118379388</v>
      </c>
      <c r="K41" s="105">
        <f t="shared" si="2"/>
        <v>0</v>
      </c>
    </row>
    <row r="42" spans="1:11" ht="12.75" hidden="1" customHeight="1" x14ac:dyDescent="0.25">
      <c r="A42" s="60"/>
      <c r="B42" s="6"/>
      <c r="D42" s="61"/>
      <c r="F42" s="108"/>
      <c r="G42" s="36" t="s">
        <v>518</v>
      </c>
      <c r="H42" s="6">
        <f>'Table 3.3-PARS Fwd Summary'!H37+'Table 3.4-NonPARS Fwd Summary'!H30</f>
        <v>89294.744068701519</v>
      </c>
      <c r="J42" s="6">
        <f>'Table 3.3-PARS Fwd Summary'!J37+'Table 3.4-NonPARS Fwd Summary'!J30</f>
        <v>89294.744068701533</v>
      </c>
      <c r="K42" s="105">
        <f t="shared" si="2"/>
        <v>0</v>
      </c>
    </row>
    <row r="43" spans="1:11" ht="12.75" hidden="1" customHeight="1" x14ac:dyDescent="0.3">
      <c r="A43" s="14"/>
      <c r="B43" s="6"/>
      <c r="D43" s="61"/>
      <c r="F43" s="108"/>
      <c r="G43" s="36" t="s">
        <v>315</v>
      </c>
      <c r="H43" s="75">
        <f>SUM('Table 3.32-Accounting Post Due'!D4:D5)*'Table 3.32-Accounting Post Due'!F4+SUM('Table 3.33-Delivery Post Due'!D5:D9)*'Table 3.33-Delivery Post Due'!F5+SUM('Table 3.34-Window Post Due'!D4:D5)*'Table 3.34-Window Post Due'!F4+'Table 3.36-Process Form 3546'!J17*'Table 3.36-Process Form 3546'!B4</f>
        <v>7888.7664407812008</v>
      </c>
      <c r="J43" s="6">
        <f>'Table 3.3-PARS Fwd Summary'!J38+'Table 3.4-NonPARS Fwd Summary'!J31</f>
        <v>7888.7664407812008</v>
      </c>
      <c r="K43" s="105">
        <f t="shared" si="2"/>
        <v>0</v>
      </c>
    </row>
    <row r="44" spans="1:11" ht="12.75" hidden="1" customHeight="1" x14ac:dyDescent="0.3">
      <c r="A44" s="14"/>
      <c r="B44" s="6"/>
      <c r="D44" s="61"/>
      <c r="F44" s="108"/>
      <c r="G44" s="36" t="s">
        <v>314</v>
      </c>
      <c r="H44" s="6">
        <f>SUM(H37:H43)</f>
        <v>184012.54060076494</v>
      </c>
      <c r="J44" s="6">
        <f>SUM(J37:J43)</f>
        <v>184012.54060076494</v>
      </c>
      <c r="K44" s="105">
        <f t="shared" si="2"/>
        <v>0</v>
      </c>
    </row>
    <row r="45" spans="1:11" x14ac:dyDescent="0.25">
      <c r="A45" s="204"/>
      <c r="B45" s="204"/>
      <c r="C45" s="204"/>
      <c r="D45" s="204"/>
      <c r="E45" s="204"/>
      <c r="F45" s="204"/>
      <c r="H45" s="167"/>
    </row>
    <row r="46" spans="1:11" x14ac:dyDescent="0.25">
      <c r="A46" s="12" t="s">
        <v>235</v>
      </c>
    </row>
    <row r="47" spans="1:11" x14ac:dyDescent="0.25">
      <c r="A47" s="12" t="s">
        <v>575</v>
      </c>
      <c r="D47" s="11"/>
    </row>
    <row r="48" spans="1:11" x14ac:dyDescent="0.25">
      <c r="A48" s="12" t="s">
        <v>576</v>
      </c>
      <c r="D48" s="11"/>
    </row>
    <row r="49" spans="1:4" x14ac:dyDescent="0.25">
      <c r="A49" s="12"/>
      <c r="D49" s="11"/>
    </row>
    <row r="50" spans="1:4" x14ac:dyDescent="0.25">
      <c r="A50" s="11"/>
    </row>
    <row r="51" spans="1:4" x14ac:dyDescent="0.25">
      <c r="A51" s="11"/>
    </row>
  </sheetData>
  <phoneticPr fontId="5" type="noConversion"/>
  <printOptions horizontalCentered="1"/>
  <pageMargins left="0.75" right="0.75" top="1" bottom="1" header="0.5" footer="0.5"/>
  <pageSetup orientation="landscape" r:id="rId1"/>
  <headerFooter alignWithMargins="0">
    <oddFooter>&amp;L&amp;F</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8">
    <pageSetUpPr fitToPage="1"/>
  </sheetPr>
  <dimension ref="A1:P35"/>
  <sheetViews>
    <sheetView zoomScale="70" workbookViewId="0">
      <selection activeCell="C28" sqref="C28"/>
    </sheetView>
  </sheetViews>
  <sheetFormatPr defaultColWidth="9.08984375" defaultRowHeight="12.5" x14ac:dyDescent="0.25"/>
  <cols>
    <col min="1" max="1" width="27.90625" style="4" customWidth="1"/>
    <col min="2" max="7" width="11.6328125" style="4" customWidth="1"/>
    <col min="8" max="8" width="9.6328125" style="4" customWidth="1"/>
    <col min="9" max="10" width="10.08984375" style="4" customWidth="1"/>
    <col min="11" max="11" width="10.54296875" style="4" bestFit="1" customWidth="1"/>
    <col min="12" max="12" width="9.08984375" style="4"/>
    <col min="13" max="13" width="10.36328125" style="4" bestFit="1" customWidth="1"/>
    <col min="14" max="14" width="10.54296875" style="4" bestFit="1" customWidth="1"/>
    <col min="15" max="15" width="9.08984375" style="4"/>
    <col min="16" max="16" width="11.36328125" style="4" bestFit="1" customWidth="1"/>
    <col min="17" max="16384" width="9.08984375" style="4"/>
  </cols>
  <sheetData>
    <row r="1" spans="1:16" s="2" customFormat="1" ht="15.5" x14ac:dyDescent="0.35">
      <c r="A1" s="117" t="s">
        <v>710</v>
      </c>
    </row>
    <row r="2" spans="1:16" s="2" customFormat="1" ht="15.5" x14ac:dyDescent="0.35">
      <c r="A2" s="117" t="s">
        <v>787</v>
      </c>
    </row>
    <row r="3" spans="1:16" ht="13" x14ac:dyDescent="0.3">
      <c r="B3" s="78" t="s">
        <v>167</v>
      </c>
      <c r="C3" s="78"/>
      <c r="D3" s="77"/>
      <c r="E3" s="77"/>
      <c r="F3" s="77"/>
      <c r="G3" s="77"/>
      <c r="H3" s="38"/>
      <c r="I3" s="38"/>
      <c r="J3" s="38"/>
      <c r="K3" s="38"/>
    </row>
    <row r="4" spans="1:16" ht="13" x14ac:dyDescent="0.3">
      <c r="B4" s="164" t="s">
        <v>147</v>
      </c>
      <c r="C4" s="333"/>
      <c r="D4" s="12"/>
      <c r="E4" s="164" t="s">
        <v>149</v>
      </c>
      <c r="F4" s="165"/>
      <c r="G4" s="12"/>
      <c r="H4" s="2"/>
      <c r="I4" s="2"/>
      <c r="J4" s="38"/>
      <c r="K4" s="38"/>
    </row>
    <row r="5" spans="1:16" ht="13" x14ac:dyDescent="0.3">
      <c r="B5" s="133" t="s">
        <v>228</v>
      </c>
      <c r="C5" s="163" t="s">
        <v>229</v>
      </c>
      <c r="D5" s="76" t="s">
        <v>148</v>
      </c>
      <c r="E5" s="133" t="s">
        <v>228</v>
      </c>
      <c r="F5" s="163" t="s">
        <v>229</v>
      </c>
      <c r="G5" s="76" t="s">
        <v>102</v>
      </c>
      <c r="I5" s="38"/>
      <c r="J5" s="38"/>
      <c r="K5" s="38"/>
    </row>
    <row r="6" spans="1:16" x14ac:dyDescent="0.25">
      <c r="A6" s="66" t="s">
        <v>278</v>
      </c>
      <c r="B6" s="88">
        <f t="shared" ref="B6:G7" si="0">(B17+$B12)*$B$9</f>
        <v>0.12542258969514539</v>
      </c>
      <c r="C6" s="88">
        <f>(C17+$B12)*$B$9</f>
        <v>0.21953150477173752</v>
      </c>
      <c r="D6" s="88">
        <f t="shared" si="0"/>
        <v>0.41646125029684411</v>
      </c>
      <c r="E6" s="88">
        <f t="shared" si="0"/>
        <v>3.2629774867890671</v>
      </c>
      <c r="F6" s="88">
        <f t="shared" si="0"/>
        <v>3.3837955046694224</v>
      </c>
      <c r="G6" s="88">
        <f t="shared" si="0"/>
        <v>0.16290162177704451</v>
      </c>
      <c r="H6"/>
      <c r="I6" s="150"/>
      <c r="J6" s="24"/>
      <c r="K6" s="64"/>
      <c r="L6" s="64"/>
      <c r="M6" s="366"/>
      <c r="N6" s="366"/>
      <c r="O6" s="24"/>
      <c r="P6" s="24"/>
    </row>
    <row r="7" spans="1:16" x14ac:dyDescent="0.25">
      <c r="A7" s="18" t="s">
        <v>373</v>
      </c>
      <c r="B7" s="88">
        <f t="shared" si="0"/>
        <v>0.40673963820409292</v>
      </c>
      <c r="C7" s="88">
        <f>(C18+$B13)*$B$9</f>
        <v>1.2102590384965235</v>
      </c>
      <c r="D7" s="88">
        <f t="shared" si="0"/>
        <v>1.2427141432482824</v>
      </c>
      <c r="E7" s="88"/>
      <c r="F7" s="88">
        <f t="shared" si="0"/>
        <v>16.380886553130512</v>
      </c>
      <c r="G7" s="88">
        <f t="shared" si="0"/>
        <v>0.59346126977019364</v>
      </c>
      <c r="H7"/>
      <c r="I7" s="150"/>
      <c r="J7" s="24"/>
      <c r="K7" s="64"/>
      <c r="L7" s="64"/>
      <c r="M7" s="366"/>
      <c r="N7" s="366"/>
      <c r="O7" s="24"/>
    </row>
    <row r="8" spans="1:16" x14ac:dyDescent="0.25">
      <c r="A8" s="18"/>
      <c r="B8" s="21"/>
      <c r="C8" s="21"/>
      <c r="D8" s="21"/>
      <c r="E8" s="21"/>
      <c r="F8" s="21"/>
      <c r="G8" s="85"/>
      <c r="H8" s="38"/>
      <c r="I8" s="38"/>
    </row>
    <row r="9" spans="1:16" ht="13.5" customHeight="1" x14ac:dyDescent="0.25">
      <c r="A9" s="237" t="s">
        <v>192</v>
      </c>
      <c r="B9" s="147">
        <v>1.7351466784479892</v>
      </c>
      <c r="C9" s="214" t="s">
        <v>238</v>
      </c>
      <c r="E9" s="21"/>
      <c r="F9" s="21"/>
      <c r="G9" s="85"/>
      <c r="H9" s="38"/>
      <c r="I9" s="38"/>
      <c r="J9" s="38"/>
      <c r="K9" s="38"/>
    </row>
    <row r="10" spans="1:16" x14ac:dyDescent="0.25">
      <c r="A10" s="18"/>
      <c r="B10" s="21"/>
      <c r="C10" s="21"/>
      <c r="E10" s="21"/>
      <c r="F10" s="21"/>
      <c r="G10" s="85"/>
      <c r="H10" s="38"/>
      <c r="I10" s="38"/>
      <c r="J10" s="38"/>
      <c r="K10" s="38"/>
    </row>
    <row r="11" spans="1:16" ht="13" x14ac:dyDescent="0.3">
      <c r="A11" s="14" t="s">
        <v>185</v>
      </c>
      <c r="B11" s="148"/>
      <c r="C11" s="148"/>
      <c r="E11" s="148"/>
      <c r="F11" s="148"/>
      <c r="G11" s="20"/>
      <c r="H11" s="38"/>
      <c r="I11" s="38"/>
      <c r="J11" s="38"/>
    </row>
    <row r="12" spans="1:16" x14ac:dyDescent="0.25">
      <c r="A12" s="66" t="s">
        <v>278</v>
      </c>
      <c r="B12" s="88">
        <v>4.9414111067940983E-2</v>
      </c>
      <c r="C12" s="214" t="s">
        <v>239</v>
      </c>
      <c r="E12" s="148"/>
      <c r="F12" s="148"/>
      <c r="G12" s="20"/>
      <c r="H12" s="38"/>
      <c r="I12" s="38"/>
      <c r="J12" s="38"/>
    </row>
    <row r="13" spans="1:16" x14ac:dyDescent="0.25">
      <c r="A13" s="18" t="s">
        <v>373</v>
      </c>
      <c r="B13" s="88">
        <v>4.9414111067940983E-2</v>
      </c>
      <c r="C13" s="214" t="s">
        <v>239</v>
      </c>
      <c r="E13" s="148"/>
      <c r="F13" s="148"/>
      <c r="G13" s="20"/>
      <c r="H13" s="38"/>
      <c r="I13" s="38"/>
      <c r="J13" s="38"/>
    </row>
    <row r="14" spans="1:16" x14ac:dyDescent="0.25">
      <c r="B14" s="148"/>
      <c r="C14" s="148"/>
      <c r="D14" s="148"/>
      <c r="E14" s="148"/>
      <c r="F14" s="148"/>
      <c r="G14" s="20"/>
      <c r="H14" s="38"/>
      <c r="I14" s="38"/>
      <c r="J14" s="38"/>
    </row>
    <row r="15" spans="1:16" ht="13" x14ac:dyDescent="0.3">
      <c r="A15" s="14" t="s">
        <v>374</v>
      </c>
      <c r="B15" s="164" t="s">
        <v>147</v>
      </c>
      <c r="C15" s="333"/>
      <c r="D15" s="21"/>
      <c r="E15" s="164" t="s">
        <v>149</v>
      </c>
      <c r="F15" s="165"/>
      <c r="G15" s="13"/>
      <c r="H15"/>
      <c r="I15"/>
      <c r="J15" s="78"/>
    </row>
    <row r="16" spans="1:16" ht="13" x14ac:dyDescent="0.3">
      <c r="A16" s="4" t="s">
        <v>166</v>
      </c>
      <c r="B16" s="133" t="s">
        <v>228</v>
      </c>
      <c r="C16" s="163" t="s">
        <v>229</v>
      </c>
      <c r="D16" s="149" t="s">
        <v>148</v>
      </c>
      <c r="E16" s="133" t="s">
        <v>228</v>
      </c>
      <c r="F16" s="163" t="s">
        <v>229</v>
      </c>
      <c r="G16" s="76" t="s">
        <v>102</v>
      </c>
      <c r="H16"/>
      <c r="J16"/>
    </row>
    <row r="17" spans="1:15" x14ac:dyDescent="0.25">
      <c r="A17" s="66" t="s">
        <v>278</v>
      </c>
      <c r="B17" s="88">
        <f t="shared" ref="B17:G18" si="1">IF(B27=0,0,B22/B27)</f>
        <v>2.286945507260587E-2</v>
      </c>
      <c r="C17" s="88">
        <f>IF(C27=0,0,C22/C27)</f>
        <v>7.7106319451569108E-2</v>
      </c>
      <c r="D17" s="88">
        <f t="shared" si="1"/>
        <v>0.19060090061357862</v>
      </c>
      <c r="E17" s="88">
        <f t="shared" si="1"/>
        <v>1.8311055748572016</v>
      </c>
      <c r="F17" s="88">
        <f t="shared" si="1"/>
        <v>1.9007354334628279</v>
      </c>
      <c r="G17" s="88">
        <f t="shared" si="1"/>
        <v>4.4469376593605121E-2</v>
      </c>
      <c r="H17"/>
      <c r="J17" s="64"/>
      <c r="K17" s="64"/>
      <c r="L17" s="64"/>
      <c r="M17" s="24"/>
      <c r="N17" s="24"/>
      <c r="O17" s="24"/>
    </row>
    <row r="18" spans="1:15" x14ac:dyDescent="0.25">
      <c r="A18" s="18" t="s">
        <v>373</v>
      </c>
      <c r="B18" s="88">
        <f t="shared" si="1"/>
        <v>0.18499813964039874</v>
      </c>
      <c r="C18" s="88">
        <f>IF(C28=0,0,C23/C28)</f>
        <v>0.64808256372559625</v>
      </c>
      <c r="D18" s="88">
        <f t="shared" si="1"/>
        <v>0.6667870946767136</v>
      </c>
      <c r="E18" s="88">
        <f t="shared" si="1"/>
        <v>0</v>
      </c>
      <c r="F18" s="88">
        <f t="shared" si="1"/>
        <v>9.3912209410548453</v>
      </c>
      <c r="G18" s="88">
        <f t="shared" si="1"/>
        <v>0.29260957899900952</v>
      </c>
      <c r="H18"/>
      <c r="J18" s="64"/>
      <c r="K18" s="64"/>
      <c r="L18" s="64"/>
      <c r="M18" s="6"/>
      <c r="N18" s="24"/>
      <c r="O18" s="24"/>
    </row>
    <row r="19" spans="1:15" x14ac:dyDescent="0.25">
      <c r="A19" s="18"/>
      <c r="B19" s="88"/>
      <c r="C19" s="88"/>
      <c r="D19" s="88"/>
      <c r="E19" s="88"/>
      <c r="F19" s="88"/>
      <c r="G19" s="88"/>
      <c r="H19"/>
    </row>
    <row r="20" spans="1:15" ht="13" x14ac:dyDescent="0.3">
      <c r="B20" s="164" t="s">
        <v>376</v>
      </c>
      <c r="C20" s="333"/>
      <c r="D20" s="21"/>
      <c r="E20" s="164" t="s">
        <v>149</v>
      </c>
      <c r="F20" s="165"/>
      <c r="G20" s="85"/>
      <c r="H20"/>
      <c r="I20"/>
      <c r="J20"/>
      <c r="K20"/>
      <c r="L20"/>
      <c r="M20"/>
      <c r="N20"/>
    </row>
    <row r="21" spans="1:15" ht="13" x14ac:dyDescent="0.3">
      <c r="A21" s="2" t="s">
        <v>375</v>
      </c>
      <c r="B21" s="133" t="s">
        <v>228</v>
      </c>
      <c r="C21" s="163" t="s">
        <v>229</v>
      </c>
      <c r="D21" s="149" t="s">
        <v>148</v>
      </c>
      <c r="E21" s="133" t="s">
        <v>228</v>
      </c>
      <c r="F21" s="163" t="s">
        <v>229</v>
      </c>
      <c r="G21" s="76" t="s">
        <v>102</v>
      </c>
      <c r="H21"/>
      <c r="I21"/>
      <c r="J21"/>
      <c r="K21"/>
      <c r="L21"/>
      <c r="M21"/>
      <c r="N21"/>
    </row>
    <row r="22" spans="1:15" x14ac:dyDescent="0.25">
      <c r="A22" s="66" t="s">
        <v>278</v>
      </c>
      <c r="B22" s="75">
        <v>10703.277883796251</v>
      </c>
      <c r="C22" s="75">
        <v>4234.7354576446669</v>
      </c>
      <c r="D22" s="75">
        <v>4283.2521923927006</v>
      </c>
      <c r="E22" s="75">
        <v>1500.1214895181197</v>
      </c>
      <c r="F22" s="75">
        <v>3654.5618377064366</v>
      </c>
      <c r="G22" s="75">
        <f>SUM(B22:F22)</f>
        <v>24375.948861058176</v>
      </c>
      <c r="H22"/>
      <c r="I22"/>
      <c r="J22"/>
      <c r="K22"/>
      <c r="L22"/>
      <c r="M22"/>
      <c r="N22"/>
    </row>
    <row r="23" spans="1:15" x14ac:dyDescent="0.25">
      <c r="A23" s="18" t="s">
        <v>373</v>
      </c>
      <c r="B23" s="75">
        <v>208536.5146396895</v>
      </c>
      <c r="C23" s="75">
        <v>45548.679872789296</v>
      </c>
      <c r="D23" s="75">
        <v>37195.062489041571</v>
      </c>
      <c r="E23" s="75">
        <v>0</v>
      </c>
      <c r="F23" s="75">
        <v>77873.84291144587</v>
      </c>
      <c r="G23" s="75">
        <f>SUM(B23:F23)</f>
        <v>369154.09991296625</v>
      </c>
      <c r="H23"/>
      <c r="I23"/>
      <c r="J23"/>
      <c r="K23"/>
      <c r="L23"/>
      <c r="M23"/>
      <c r="N23"/>
    </row>
    <row r="24" spans="1:15" x14ac:dyDescent="0.25">
      <c r="A24" s="18"/>
      <c r="B24" s="75"/>
      <c r="C24" s="75"/>
      <c r="D24" s="75"/>
      <c r="E24" s="75"/>
      <c r="F24" s="75"/>
      <c r="G24" s="75"/>
      <c r="H24"/>
      <c r="I24"/>
      <c r="J24"/>
      <c r="K24"/>
      <c r="L24"/>
      <c r="M24"/>
      <c r="N24"/>
    </row>
    <row r="25" spans="1:15" ht="13" x14ac:dyDescent="0.3">
      <c r="B25" s="164" t="s">
        <v>376</v>
      </c>
      <c r="C25" s="333"/>
      <c r="D25" s="75"/>
      <c r="E25" s="164" t="s">
        <v>149</v>
      </c>
      <c r="F25" s="165"/>
      <c r="G25" s="75"/>
      <c r="H25"/>
      <c r="I25"/>
      <c r="J25"/>
      <c r="K25"/>
      <c r="L25"/>
      <c r="M25"/>
      <c r="N25"/>
    </row>
    <row r="26" spans="1:15" ht="13" x14ac:dyDescent="0.3">
      <c r="A26" s="17" t="s">
        <v>252</v>
      </c>
      <c r="B26" s="133" t="s">
        <v>228</v>
      </c>
      <c r="C26" s="163" t="s">
        <v>229</v>
      </c>
      <c r="D26" s="149" t="s">
        <v>148</v>
      </c>
      <c r="E26" s="133" t="s">
        <v>228</v>
      </c>
      <c r="F26" s="163" t="s">
        <v>229</v>
      </c>
      <c r="G26" s="76" t="s">
        <v>102</v>
      </c>
      <c r="H26"/>
      <c r="I26"/>
      <c r="J26"/>
      <c r="K26"/>
      <c r="L26"/>
      <c r="M26"/>
      <c r="N26"/>
    </row>
    <row r="27" spans="1:15" x14ac:dyDescent="0.25">
      <c r="A27" s="66" t="s">
        <v>278</v>
      </c>
      <c r="B27" s="75">
        <v>468016.30602108879</v>
      </c>
      <c r="C27" s="75">
        <v>54920.731371499671</v>
      </c>
      <c r="D27" s="75">
        <v>22472.360721298486</v>
      </c>
      <c r="E27" s="75">
        <v>819.24358164608088</v>
      </c>
      <c r="F27" s="75">
        <v>1922.7093752066403</v>
      </c>
      <c r="G27" s="75">
        <f>SUM(B27:F27)</f>
        <v>548151.35107073968</v>
      </c>
      <c r="H27"/>
      <c r="I27"/>
      <c r="J27"/>
      <c r="K27"/>
      <c r="L27"/>
      <c r="M27"/>
      <c r="N27"/>
    </row>
    <row r="28" spans="1:15" x14ac:dyDescent="0.25">
      <c r="A28" s="18" t="s">
        <v>373</v>
      </c>
      <c r="B28" s="75">
        <v>1127235.7389379423</v>
      </c>
      <c r="C28" s="75">
        <v>70282.217763962253</v>
      </c>
      <c r="D28" s="75">
        <v>55782.517067273628</v>
      </c>
      <c r="E28" s="75">
        <v>0</v>
      </c>
      <c r="F28" s="75">
        <v>8292.1958071512363</v>
      </c>
      <c r="G28" s="75">
        <f>SUM(B28:F28)</f>
        <v>1261592.6695763294</v>
      </c>
      <c r="H28"/>
      <c r="I28"/>
      <c r="J28"/>
      <c r="K28"/>
      <c r="L28"/>
      <c r="M28"/>
      <c r="N28"/>
    </row>
    <row r="29" spans="1:15" x14ac:dyDescent="0.25">
      <c r="A29" s="103"/>
      <c r="B29" s="103"/>
      <c r="C29" s="103"/>
      <c r="D29" s="103"/>
      <c r="E29" s="103"/>
      <c r="F29" s="103"/>
    </row>
    <row r="30" spans="1:15" x14ac:dyDescent="0.25">
      <c r="A30" s="4" t="s">
        <v>235</v>
      </c>
      <c r="I30" s="17"/>
    </row>
    <row r="31" spans="1:15" ht="50.15" customHeight="1" x14ac:dyDescent="0.25">
      <c r="A31" s="427" t="s">
        <v>813</v>
      </c>
      <c r="B31" s="428"/>
      <c r="C31" s="428"/>
      <c r="D31" s="428"/>
      <c r="E31" s="428"/>
      <c r="F31" s="428"/>
    </row>
    <row r="32" spans="1:15" x14ac:dyDescent="0.25">
      <c r="A32" s="17" t="s">
        <v>795</v>
      </c>
    </row>
    <row r="33" spans="1:3" x14ac:dyDescent="0.25">
      <c r="A33" s="17" t="s">
        <v>812</v>
      </c>
    </row>
    <row r="35" spans="1:3" x14ac:dyDescent="0.25">
      <c r="C35" s="24"/>
    </row>
  </sheetData>
  <mergeCells count="1">
    <mergeCell ref="A31:F31"/>
  </mergeCells>
  <phoneticPr fontId="0" type="noConversion"/>
  <printOptions horizontalCentered="1"/>
  <pageMargins left="0.75" right="0.75" top="1" bottom="1" header="0.5" footer="0.5"/>
  <pageSetup orientation="landscape" r:id="rId1"/>
  <headerFooter alignWithMargins="0">
    <oddFooter>&amp;L&amp;F</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9">
    <pageSetUpPr fitToPage="1"/>
  </sheetPr>
  <dimension ref="A1:F46"/>
  <sheetViews>
    <sheetView zoomScale="70" workbookViewId="0">
      <selection activeCell="B28" sqref="B28"/>
    </sheetView>
  </sheetViews>
  <sheetFormatPr defaultRowHeight="12.5" x14ac:dyDescent="0.25"/>
  <cols>
    <col min="1" max="1" width="31.453125" bestFit="1" customWidth="1"/>
    <col min="2" max="2" width="11.6328125" customWidth="1"/>
    <col min="3" max="3" width="3.6328125" customWidth="1"/>
    <col min="4" max="4" width="11.6328125" customWidth="1"/>
    <col min="5" max="5" width="3.6328125" customWidth="1"/>
    <col min="6" max="6" width="11.6328125" customWidth="1"/>
  </cols>
  <sheetData>
    <row r="1" spans="1:6" ht="15.5" x14ac:dyDescent="0.35">
      <c r="A1" s="117" t="s">
        <v>711</v>
      </c>
    </row>
    <row r="2" spans="1:6" ht="15.5" x14ac:dyDescent="0.35">
      <c r="A2" s="117" t="s">
        <v>787</v>
      </c>
    </row>
    <row r="3" spans="1:6" ht="25" x14ac:dyDescent="0.25">
      <c r="A3" s="399" t="s">
        <v>396</v>
      </c>
      <c r="B3" s="125" t="s">
        <v>109</v>
      </c>
      <c r="D3" s="126" t="s">
        <v>104</v>
      </c>
      <c r="F3" s="125" t="s">
        <v>110</v>
      </c>
    </row>
    <row r="4" spans="1:6" ht="13" x14ac:dyDescent="0.3">
      <c r="A4" s="5" t="s">
        <v>278</v>
      </c>
    </row>
    <row r="5" spans="1:6" ht="13" x14ac:dyDescent="0.3">
      <c r="A5" s="80" t="s">
        <v>505</v>
      </c>
    </row>
    <row r="6" spans="1:6" x14ac:dyDescent="0.25">
      <c r="A6" s="367" t="s">
        <v>539</v>
      </c>
      <c r="B6" s="6">
        <f>'Table 3.3-PARS Fwd Summary'!B23-B7</f>
        <v>468016.30602108856</v>
      </c>
      <c r="C6" s="11" t="s">
        <v>238</v>
      </c>
      <c r="D6" s="88">
        <f>'Table 3.29-UAA MP Units'!B6</f>
        <v>0.12542258969514539</v>
      </c>
      <c r="E6" s="11" t="s">
        <v>239</v>
      </c>
      <c r="F6" s="108">
        <f>B6*D6</f>
        <v>58699.817120720589</v>
      </c>
    </row>
    <row r="7" spans="1:6" x14ac:dyDescent="0.25">
      <c r="A7" s="400" t="s">
        <v>545</v>
      </c>
      <c r="B7" s="6">
        <f>SUM('Table 3.3-PARS Fwd Summary'!B9,'Table 3.3-PARS Fwd Summary'!B19)</f>
        <v>21528.388978911371</v>
      </c>
      <c r="C7" s="11" t="s">
        <v>238</v>
      </c>
      <c r="D7" s="88">
        <f>'Table 3.29-UAA MP Units'!C6</f>
        <v>0.21953150477173752</v>
      </c>
      <c r="E7" s="11" t="s">
        <v>239</v>
      </c>
      <c r="F7" s="108">
        <f>B7*D7</f>
        <v>4726.1596278517036</v>
      </c>
    </row>
    <row r="8" spans="1:6" x14ac:dyDescent="0.25">
      <c r="A8" s="367" t="s">
        <v>102</v>
      </c>
      <c r="B8" s="6">
        <f>SUM(B6:B7)</f>
        <v>489544.69499999995</v>
      </c>
      <c r="D8" s="88">
        <f>F8/B8</f>
        <v>0.12956115630784704</v>
      </c>
      <c r="F8" s="81">
        <f>SUM(F6:F7)</f>
        <v>63425.976748572291</v>
      </c>
    </row>
    <row r="9" spans="1:6" ht="5.15" customHeight="1" x14ac:dyDescent="0.25"/>
    <row r="10" spans="1:6" ht="13" x14ac:dyDescent="0.3">
      <c r="A10" s="80" t="s">
        <v>490</v>
      </c>
    </row>
    <row r="11" spans="1:6" x14ac:dyDescent="0.25">
      <c r="A11" s="367" t="s">
        <v>539</v>
      </c>
      <c r="B11">
        <v>0</v>
      </c>
      <c r="D11" s="88">
        <f>'Table 3.29-UAA MP Units'!B6</f>
        <v>0.12542258969514539</v>
      </c>
      <c r="E11" s="11" t="s">
        <v>239</v>
      </c>
      <c r="F11" s="108">
        <f>B11*D11</f>
        <v>0</v>
      </c>
    </row>
    <row r="12" spans="1:6" x14ac:dyDescent="0.25">
      <c r="A12" s="367" t="s">
        <v>540</v>
      </c>
      <c r="B12" s="6">
        <f>'Table 3.29-UAA MP Units'!C27-B7</f>
        <v>33392.342392588296</v>
      </c>
      <c r="C12" s="11" t="s">
        <v>240</v>
      </c>
      <c r="D12" s="88">
        <f>'Table 3.29-UAA MP Units'!C6</f>
        <v>0.21953150477173752</v>
      </c>
      <c r="E12" s="11" t="s">
        <v>239</v>
      </c>
      <c r="F12" s="108">
        <f>B12*D12</f>
        <v>7330.6711732979911</v>
      </c>
    </row>
    <row r="13" spans="1:6" x14ac:dyDescent="0.25">
      <c r="A13" s="367" t="s">
        <v>148</v>
      </c>
      <c r="B13" s="6">
        <f>'Table 3.29-UAA MP Units'!D27</f>
        <v>22472.360721298486</v>
      </c>
      <c r="C13" s="11" t="s">
        <v>239</v>
      </c>
      <c r="D13" s="88">
        <f>'Table 3.29-UAA MP Units'!D6</f>
        <v>0.41646125029684411</v>
      </c>
      <c r="E13" s="11" t="s">
        <v>239</v>
      </c>
      <c r="F13" s="108">
        <f>B13*D13</f>
        <v>9358.8674431136569</v>
      </c>
    </row>
    <row r="14" spans="1:6" x14ac:dyDescent="0.25">
      <c r="A14" s="367" t="s">
        <v>541</v>
      </c>
      <c r="B14" s="6">
        <f>'Table 3.29-UAA MP Units'!E27</f>
        <v>819.24358164608088</v>
      </c>
      <c r="C14" s="11" t="s">
        <v>239</v>
      </c>
      <c r="D14" s="88">
        <f>'Table 3.29-UAA MP Units'!E6</f>
        <v>3.2629774867890671</v>
      </c>
      <c r="E14" s="11" t="s">
        <v>239</v>
      </c>
      <c r="F14" s="108">
        <f>B14*D14</f>
        <v>2673.1733631076027</v>
      </c>
    </row>
    <row r="15" spans="1:6" x14ac:dyDescent="0.25">
      <c r="A15" s="400" t="s">
        <v>542</v>
      </c>
      <c r="B15" s="6">
        <f>'Table 3.29-UAA MP Units'!F27</f>
        <v>1922.7093752066403</v>
      </c>
      <c r="C15" s="11" t="s">
        <v>239</v>
      </c>
      <c r="D15" s="88">
        <f>'Table 3.29-UAA MP Units'!F6</f>
        <v>3.3837955046694224</v>
      </c>
      <c r="E15" s="11" t="s">
        <v>239</v>
      </c>
      <c r="F15" s="108">
        <f>B15*D15</f>
        <v>6506.0553406099834</v>
      </c>
    </row>
    <row r="16" spans="1:6" x14ac:dyDescent="0.25">
      <c r="A16" s="367" t="s">
        <v>102</v>
      </c>
      <c r="B16" s="6">
        <f>SUM(B11:B15)</f>
        <v>58606.656070739504</v>
      </c>
      <c r="D16" s="88">
        <f>F16/B16</f>
        <v>0.441396405365716</v>
      </c>
      <c r="F16" s="81">
        <f>SUM(F11:F15)</f>
        <v>25868.767320129235</v>
      </c>
    </row>
    <row r="17" spans="1:6" ht="5.15" customHeight="1" x14ac:dyDescent="0.25"/>
    <row r="18" spans="1:6" ht="13" x14ac:dyDescent="0.3">
      <c r="A18" s="401" t="s">
        <v>543</v>
      </c>
      <c r="B18" s="6">
        <f>SUM(B8,B16)</f>
        <v>548151.35107073945</v>
      </c>
      <c r="D18" s="88">
        <f>F18/B18</f>
        <v>0.16290162177704448</v>
      </c>
      <c r="F18" s="81">
        <f>SUM(F8,F16)</f>
        <v>89294.744068701519</v>
      </c>
    </row>
    <row r="20" spans="1:6" ht="13" x14ac:dyDescent="0.3">
      <c r="A20" s="5" t="s">
        <v>280</v>
      </c>
    </row>
    <row r="21" spans="1:6" ht="13" x14ac:dyDescent="0.3">
      <c r="A21" s="80" t="s">
        <v>505</v>
      </c>
    </row>
    <row r="22" spans="1:6" x14ac:dyDescent="0.25">
      <c r="A22" s="367" t="s">
        <v>539</v>
      </c>
      <c r="B22" s="6">
        <f>'Table 3.6-PARS RTS Summary'!B62-B23</f>
        <v>1127235.7389379423</v>
      </c>
      <c r="C22" s="11" t="s">
        <v>241</v>
      </c>
      <c r="D22" s="88">
        <f>'Table 3.29-UAA MP Units'!B7</f>
        <v>0.40673963820409292</v>
      </c>
      <c r="E22" s="11" t="s">
        <v>239</v>
      </c>
      <c r="F22" s="108">
        <f>B22*D22</f>
        <v>458491.45662634197</v>
      </c>
    </row>
    <row r="23" spans="1:6" x14ac:dyDescent="0.25">
      <c r="A23" s="400" t="s">
        <v>545</v>
      </c>
      <c r="B23" s="6">
        <f>SUM('Table 3.6-PARS RTS Summary'!B9,'Table 3.6-PARS RTS Summary'!B17,'Table 3.6-PARS RTS Summary'!B27,'Table 3.6-PARS RTS Summary'!B37,'Table 3.6-PARS RTS Summary'!B48,'Table 3.6-PARS RTS Summary'!B58)</f>
        <v>55386.746062057791</v>
      </c>
      <c r="C23" s="11" t="s">
        <v>241</v>
      </c>
      <c r="D23" s="88">
        <f>'Table 3.29-UAA MP Units'!C7</f>
        <v>1.2102590384965235</v>
      </c>
      <c r="E23" s="11" t="s">
        <v>239</v>
      </c>
      <c r="F23" s="108">
        <f>B23*D23</f>
        <v>67032.31003451717</v>
      </c>
    </row>
    <row r="24" spans="1:6" x14ac:dyDescent="0.25">
      <c r="A24" s="367" t="s">
        <v>102</v>
      </c>
      <c r="B24" s="6">
        <f>SUM(B22:B23)</f>
        <v>1182622.4850000001</v>
      </c>
      <c r="D24" s="88">
        <f>F24/B24</f>
        <v>0.44437153303478671</v>
      </c>
      <c r="F24" s="81">
        <f>SUM(F22:F23)</f>
        <v>525523.76666085911</v>
      </c>
    </row>
    <row r="25" spans="1:6" ht="5.15" customHeight="1" x14ac:dyDescent="0.25"/>
    <row r="26" spans="1:6" ht="13" x14ac:dyDescent="0.3">
      <c r="A26" s="80" t="s">
        <v>490</v>
      </c>
    </row>
    <row r="27" spans="1:6" x14ac:dyDescent="0.25">
      <c r="A27" s="367" t="s">
        <v>539</v>
      </c>
      <c r="B27">
        <v>0</v>
      </c>
      <c r="D27" s="88">
        <f>'Table 3.29-UAA MP Units'!B7</f>
        <v>0.40673963820409292</v>
      </c>
      <c r="E27" s="11" t="s">
        <v>239</v>
      </c>
      <c r="F27" s="81">
        <f>B27*D27</f>
        <v>0</v>
      </c>
    </row>
    <row r="28" spans="1:6" x14ac:dyDescent="0.25">
      <c r="A28" s="367" t="s">
        <v>540</v>
      </c>
      <c r="B28" s="6">
        <f>'Table 3.29-UAA MP Units'!C28-B23</f>
        <v>14895.471701904462</v>
      </c>
      <c r="C28" s="11" t="s">
        <v>240</v>
      </c>
      <c r="D28" s="88">
        <f>'Table 3.29-UAA MP Units'!C7</f>
        <v>1.2102590384965235</v>
      </c>
      <c r="E28" s="11" t="s">
        <v>239</v>
      </c>
      <c r="F28" s="81">
        <f>B28*D28</f>
        <v>18027.379259899069</v>
      </c>
    </row>
    <row r="29" spans="1:6" x14ac:dyDescent="0.25">
      <c r="A29" s="367" t="s">
        <v>148</v>
      </c>
      <c r="B29" s="6">
        <f>'Table 3.29-UAA MP Units'!D28</f>
        <v>55782.517067273628</v>
      </c>
      <c r="C29" s="11" t="s">
        <v>239</v>
      </c>
      <c r="D29" s="88">
        <f>'Table 3.29-UAA MP Units'!D7</f>
        <v>1.2427141432482824</v>
      </c>
      <c r="E29" s="11" t="s">
        <v>239</v>
      </c>
      <c r="F29" s="81">
        <f>B29*D29</f>
        <v>69321.722905489645</v>
      </c>
    </row>
    <row r="30" spans="1:6" x14ac:dyDescent="0.25">
      <c r="A30" s="367" t="s">
        <v>541</v>
      </c>
      <c r="B30" s="6">
        <f>'Table 3.29-UAA MP Units'!E28</f>
        <v>0</v>
      </c>
      <c r="C30" s="11" t="s">
        <v>239</v>
      </c>
      <c r="D30" s="88">
        <f>'Table 3.29-UAA MP Units'!E7</f>
        <v>0</v>
      </c>
      <c r="E30" s="11" t="s">
        <v>239</v>
      </c>
      <c r="F30" s="81">
        <f>B30*D30</f>
        <v>0</v>
      </c>
    </row>
    <row r="31" spans="1:6" x14ac:dyDescent="0.25">
      <c r="A31" s="400" t="s">
        <v>542</v>
      </c>
      <c r="B31" s="6">
        <f>'Table 3.29-UAA MP Units'!F28</f>
        <v>8292.1958071512363</v>
      </c>
      <c r="C31" s="11" t="s">
        <v>239</v>
      </c>
      <c r="D31" s="88">
        <f>'Table 3.29-UAA MP Units'!F7</f>
        <v>16.380886553130512</v>
      </c>
      <c r="E31" s="11" t="s">
        <v>239</v>
      </c>
      <c r="F31" s="81">
        <f>B31*D31</f>
        <v>135833.51879328891</v>
      </c>
    </row>
    <row r="32" spans="1:6" x14ac:dyDescent="0.25">
      <c r="A32" s="367" t="s">
        <v>102</v>
      </c>
      <c r="B32" s="6">
        <f>SUM(B27:B31)</f>
        <v>78970.184576329324</v>
      </c>
      <c r="D32" s="88">
        <f>F32/B32</f>
        <v>2.8261630912481723</v>
      </c>
      <c r="F32" s="81">
        <f>SUM(F27:F31)</f>
        <v>223182.62095867761</v>
      </c>
    </row>
    <row r="33" spans="1:6" ht="5.15" customHeight="1" x14ac:dyDescent="0.25"/>
    <row r="34" spans="1:6" ht="13" x14ac:dyDescent="0.3">
      <c r="A34" s="401" t="s">
        <v>544</v>
      </c>
      <c r="B34" s="6">
        <f>B24+B32</f>
        <v>1261592.6695763294</v>
      </c>
      <c r="D34" s="88">
        <f>F34/B34</f>
        <v>0.59346126977019353</v>
      </c>
      <c r="F34" s="81">
        <f>F24+F32</f>
        <v>748706.38761953672</v>
      </c>
    </row>
    <row r="35" spans="1:6" hidden="1" x14ac:dyDescent="0.25"/>
    <row r="36" spans="1:6" hidden="1" x14ac:dyDescent="0.25">
      <c r="A36" s="13" t="s">
        <v>191</v>
      </c>
      <c r="B36" s="105">
        <f>B18-'Table 3.29-UAA MP Units'!G27</f>
        <v>0</v>
      </c>
      <c r="D36" s="105">
        <f>D18-'Table 3.29-UAA MP Units'!G6</f>
        <v>0</v>
      </c>
      <c r="F36" s="105">
        <f>F18-PRODUCT('Table 3.29-UAA MP Units'!G6,'Table 3.29-UAA MP Units'!G27)</f>
        <v>0</v>
      </c>
    </row>
    <row r="37" spans="1:6" hidden="1" x14ac:dyDescent="0.25">
      <c r="B37" s="105">
        <f>B34-'Table 3.29-UAA MP Units'!G28</f>
        <v>0</v>
      </c>
      <c r="D37" s="105">
        <f>D34-'Table 3.29-UAA MP Units'!G7</f>
        <v>0</v>
      </c>
      <c r="F37" s="105">
        <f>F34-PRODUCT('Table 3.29-UAA MP Units'!G7,'Table 3.29-UAA MP Units'!G28)</f>
        <v>0</v>
      </c>
    </row>
    <row r="38" spans="1:6" hidden="1" x14ac:dyDescent="0.25">
      <c r="B38" s="105">
        <f>B6-'Table 3.29-UAA MP Units'!B27</f>
        <v>0</v>
      </c>
      <c r="D38" s="105">
        <f>B22-'Table 3.29-UAA MP Units'!B28</f>
        <v>0</v>
      </c>
      <c r="F38" s="105"/>
    </row>
    <row r="39" spans="1:6" hidden="1" x14ac:dyDescent="0.25">
      <c r="B39" s="105">
        <f>SUM(B7,B12)-'Table 3.29-UAA MP Units'!C27</f>
        <v>0</v>
      </c>
      <c r="D39" s="105">
        <f>SUM(B23,B28)-'Table 3.29-UAA MP Units'!C28</f>
        <v>0</v>
      </c>
      <c r="F39" s="105"/>
    </row>
    <row r="40" spans="1:6" x14ac:dyDescent="0.25">
      <c r="A40" s="103"/>
      <c r="B40" s="204"/>
      <c r="C40" s="204"/>
      <c r="D40" s="204"/>
    </row>
    <row r="41" spans="1:6" x14ac:dyDescent="0.25">
      <c r="A41" s="4" t="s">
        <v>235</v>
      </c>
    </row>
    <row r="42" spans="1:6" x14ac:dyDescent="0.25">
      <c r="A42" s="11" t="s">
        <v>546</v>
      </c>
    </row>
    <row r="43" spans="1:6" x14ac:dyDescent="0.25">
      <c r="A43" s="11" t="s">
        <v>663</v>
      </c>
    </row>
    <row r="44" spans="1:6" x14ac:dyDescent="0.25">
      <c r="A44" s="11" t="s">
        <v>700</v>
      </c>
    </row>
    <row r="45" spans="1:6" x14ac:dyDescent="0.25">
      <c r="A45" s="11" t="s">
        <v>37</v>
      </c>
    </row>
    <row r="46" spans="1:6" x14ac:dyDescent="0.25">
      <c r="A46" s="11" t="s">
        <v>664</v>
      </c>
    </row>
  </sheetData>
  <phoneticPr fontId="5" type="noConversion"/>
  <printOptions horizontalCentered="1"/>
  <pageMargins left="0.75" right="0.75" top="1" bottom="1" header="0.5" footer="0.5"/>
  <pageSetup scale="93" orientation="landscape" r:id="rId1"/>
  <headerFooter alignWithMargins="0">
    <oddFooter>&amp;L&amp;F</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0">
    <pageSetUpPr fitToPage="1"/>
  </sheetPr>
  <dimension ref="A1:J35"/>
  <sheetViews>
    <sheetView zoomScale="70" workbookViewId="0"/>
  </sheetViews>
  <sheetFormatPr defaultRowHeight="12.5" x14ac:dyDescent="0.25"/>
  <cols>
    <col min="1" max="1" width="25.90625" bestFit="1" customWidth="1"/>
    <col min="2" max="4" width="11.6328125" customWidth="1"/>
    <col min="5" max="5" width="3.54296875" customWidth="1"/>
    <col min="6" max="6" width="11.6328125" customWidth="1"/>
    <col min="7" max="7" width="3.54296875" customWidth="1"/>
    <col min="8" max="9" width="11.6328125" customWidth="1"/>
  </cols>
  <sheetData>
    <row r="1" spans="1:10" ht="15.5" x14ac:dyDescent="0.35">
      <c r="A1" s="117" t="s">
        <v>712</v>
      </c>
    </row>
    <row r="2" spans="1:10" ht="15.5" x14ac:dyDescent="0.35">
      <c r="A2" s="117" t="s">
        <v>787</v>
      </c>
    </row>
    <row r="3" spans="1:10" ht="5.15" customHeight="1" x14ac:dyDescent="0.35">
      <c r="A3" s="346"/>
    </row>
    <row r="4" spans="1:10" ht="13" x14ac:dyDescent="0.3">
      <c r="A4" s="14" t="s">
        <v>224</v>
      </c>
    </row>
    <row r="5" spans="1:10" ht="25" x14ac:dyDescent="0.25">
      <c r="B5" s="125" t="s">
        <v>250</v>
      </c>
      <c r="C5" s="141" t="s">
        <v>104</v>
      </c>
      <c r="D5" s="138" t="s">
        <v>249</v>
      </c>
      <c r="E5" s="141"/>
      <c r="F5" s="142" t="s">
        <v>246</v>
      </c>
      <c r="G5" s="142"/>
      <c r="H5" s="119" t="s">
        <v>218</v>
      </c>
      <c r="I5" s="31" t="s">
        <v>133</v>
      </c>
      <c r="J5" s="4"/>
    </row>
    <row r="6" spans="1:10" ht="13" x14ac:dyDescent="0.3">
      <c r="A6" s="16" t="s">
        <v>439</v>
      </c>
      <c r="B6" s="125"/>
      <c r="C6" s="141"/>
      <c r="D6" s="138"/>
      <c r="E6" s="141"/>
      <c r="F6" s="142"/>
      <c r="G6" s="142"/>
      <c r="H6" s="119"/>
      <c r="I6" s="31"/>
      <c r="J6" s="4"/>
    </row>
    <row r="7" spans="1:10" x14ac:dyDescent="0.25">
      <c r="A7" s="59" t="s">
        <v>278</v>
      </c>
      <c r="B7" s="125">
        <v>0</v>
      </c>
      <c r="C7" s="61" t="str">
        <f>IF(ISERROR(D7/B7),"n/a",D7/B7)</f>
        <v>n/a</v>
      </c>
      <c r="D7" s="29">
        <v>0</v>
      </c>
      <c r="E7" s="141"/>
      <c r="F7" s="39">
        <v>1.5638897968218963</v>
      </c>
      <c r="G7" s="142"/>
      <c r="H7" s="29">
        <f>F7*D7</f>
        <v>0</v>
      </c>
      <c r="I7" s="61" t="str">
        <f>IF(ISERROR(H7/B7),"n/a",H7/B7)</f>
        <v>n/a</v>
      </c>
      <c r="J7" s="4"/>
    </row>
    <row r="8" spans="1:10" x14ac:dyDescent="0.25">
      <c r="A8" s="59" t="s">
        <v>274</v>
      </c>
      <c r="B8" s="125">
        <v>542.62785747021587</v>
      </c>
      <c r="C8" s="61">
        <f>IF(ISERROR(D8/B8),"n/a",D8/B8)</f>
        <v>0</v>
      </c>
      <c r="D8" s="29">
        <v>0</v>
      </c>
      <c r="E8" s="141"/>
      <c r="F8" s="39">
        <v>1.5638897968218963</v>
      </c>
      <c r="G8" s="142"/>
      <c r="H8" s="29">
        <f>F8*D8</f>
        <v>0</v>
      </c>
      <c r="I8" s="61">
        <f>IF(ISERROR(H8/B8),"n/a",H8/B8)</f>
        <v>0</v>
      </c>
      <c r="J8" s="4"/>
    </row>
    <row r="9" spans="1:10" x14ac:dyDescent="0.25">
      <c r="A9" s="60" t="s">
        <v>444</v>
      </c>
      <c r="B9" s="125">
        <f>SUM(B7:B8)</f>
        <v>542.62785747021587</v>
      </c>
      <c r="C9" s="61">
        <f>IF(ISERROR(D9/B9),"n/a",D9/B9)</f>
        <v>0</v>
      </c>
      <c r="D9" s="29">
        <f>SUM(D7:D8)</f>
        <v>0</v>
      </c>
      <c r="E9" s="347" t="s">
        <v>239</v>
      </c>
      <c r="F9" s="39"/>
      <c r="G9" s="142"/>
      <c r="H9" s="29">
        <f>SUM(H7:H8)</f>
        <v>0</v>
      </c>
      <c r="I9" s="61">
        <f>IF(ISERROR(H9/B9),"n/a",H9/B9)</f>
        <v>0</v>
      </c>
      <c r="J9" s="4"/>
    </row>
    <row r="10" spans="1:10" x14ac:dyDescent="0.25">
      <c r="B10" s="125"/>
      <c r="C10" s="61"/>
      <c r="D10" s="138"/>
      <c r="E10" s="141"/>
      <c r="F10" s="142"/>
      <c r="G10" s="142"/>
      <c r="H10" s="119"/>
      <c r="I10" s="61"/>
      <c r="J10" s="4"/>
    </row>
    <row r="11" spans="1:10" ht="13" x14ac:dyDescent="0.3">
      <c r="A11" s="16" t="s">
        <v>442</v>
      </c>
      <c r="B11" s="125"/>
      <c r="C11" s="61"/>
      <c r="D11" s="138"/>
      <c r="E11" s="141"/>
      <c r="F11" s="142"/>
      <c r="G11" s="142"/>
      <c r="H11" s="119"/>
      <c r="I11" s="61"/>
      <c r="J11" s="4"/>
    </row>
    <row r="12" spans="1:10" x14ac:dyDescent="0.25">
      <c r="A12" s="59" t="s">
        <v>278</v>
      </c>
      <c r="B12" s="125">
        <v>0</v>
      </c>
      <c r="C12" s="61" t="str">
        <f>IF(ISERROR(D12/B12),"n/a",D12/B12)</f>
        <v>n/a</v>
      </c>
      <c r="D12" s="29">
        <v>0</v>
      </c>
      <c r="E12" s="141"/>
      <c r="F12" s="39">
        <v>1.5638897968218963</v>
      </c>
      <c r="G12" s="142"/>
      <c r="H12" s="29">
        <f>F12*D12</f>
        <v>0</v>
      </c>
      <c r="I12" s="61" t="str">
        <f>IF(ISERROR(H12/B12),"n/a",H12/B12)</f>
        <v>n/a</v>
      </c>
      <c r="J12" s="4"/>
    </row>
    <row r="13" spans="1:10" x14ac:dyDescent="0.25">
      <c r="A13" s="59" t="s">
        <v>274</v>
      </c>
      <c r="B13" s="125">
        <v>254.97407652311449</v>
      </c>
      <c r="C13" s="61">
        <f>IF(ISERROR(D13/B13),"n/a",D13/B13)</f>
        <v>0.15054702005572745</v>
      </c>
      <c r="D13" s="29">
        <v>38.385587412015902</v>
      </c>
      <c r="E13" s="141"/>
      <c r="F13" s="39">
        <v>1.5638897968218963</v>
      </c>
      <c r="G13" s="142"/>
      <c r="H13" s="29">
        <f>F13*D13</f>
        <v>60.030828498666686</v>
      </c>
      <c r="I13" s="61">
        <f>IF(ISERROR(H13/B13),"n/a",H13/B13)</f>
        <v>0.23543894860709352</v>
      </c>
      <c r="J13" s="4"/>
    </row>
    <row r="14" spans="1:10" x14ac:dyDescent="0.25">
      <c r="A14" s="59" t="s">
        <v>445</v>
      </c>
      <c r="B14" s="125">
        <f>SUM(B12:B13)</f>
        <v>254.97407652311449</v>
      </c>
      <c r="C14" s="61">
        <f>IF(ISERROR(D14/B14),"n/a",D14/B14)</f>
        <v>0.15054702005572745</v>
      </c>
      <c r="D14" s="29">
        <f>SUM(D12:D13)</f>
        <v>38.385587412015902</v>
      </c>
      <c r="E14" s="141"/>
      <c r="F14" s="142"/>
      <c r="G14" s="142"/>
      <c r="H14" s="29">
        <f>SUM(H12:H13)</f>
        <v>60.030828498666686</v>
      </c>
      <c r="I14" s="61">
        <f>IF(ISERROR(H14/B14),"n/a",H14/B14)</f>
        <v>0.23543894860709352</v>
      </c>
      <c r="J14" s="4"/>
    </row>
    <row r="15" spans="1:10" x14ac:dyDescent="0.25">
      <c r="A15" s="59"/>
      <c r="B15" s="125"/>
      <c r="C15" s="61"/>
      <c r="D15" s="138"/>
      <c r="E15" s="141"/>
      <c r="F15" s="142"/>
      <c r="G15" s="142"/>
      <c r="H15" s="119"/>
      <c r="I15" s="61"/>
      <c r="J15" s="4"/>
    </row>
    <row r="16" spans="1:10" ht="13" x14ac:dyDescent="0.3">
      <c r="A16" s="16" t="s">
        <v>449</v>
      </c>
      <c r="B16" s="125"/>
      <c r="C16" s="61"/>
      <c r="D16" s="138"/>
      <c r="E16" s="141"/>
      <c r="F16" s="142"/>
      <c r="G16" s="142"/>
      <c r="H16" s="119"/>
      <c r="I16" s="61"/>
      <c r="J16" s="4"/>
    </row>
    <row r="17" spans="1:10" x14ac:dyDescent="0.25">
      <c r="A17" s="11" t="s">
        <v>278</v>
      </c>
      <c r="C17" s="61"/>
      <c r="I17" s="19"/>
      <c r="J17" s="4"/>
    </row>
    <row r="18" spans="1:10" s="4" customFormat="1" x14ac:dyDescent="0.25">
      <c r="A18" s="18" t="s">
        <v>148</v>
      </c>
      <c r="B18" s="24">
        <v>0</v>
      </c>
      <c r="C18" s="61" t="str">
        <f>IF(ISERROR(D18/B18),"n/a",D18/B18)</f>
        <v>n/a</v>
      </c>
      <c r="D18" s="29">
        <v>0</v>
      </c>
      <c r="F18" s="39">
        <v>1.5638897968218963</v>
      </c>
      <c r="G18" s="20"/>
      <c r="H18" s="29">
        <f>F18*D18</f>
        <v>0</v>
      </c>
      <c r="I18" s="61" t="str">
        <f>IF(ISERROR(H18/B18),"n/a",H18/B18)</f>
        <v>n/a</v>
      </c>
    </row>
    <row r="19" spans="1:10" s="4" customFormat="1" x14ac:dyDescent="0.25">
      <c r="A19" s="18" t="s">
        <v>149</v>
      </c>
      <c r="B19" s="24">
        <v>258.19544757192983</v>
      </c>
      <c r="C19" s="61">
        <f>IF(ISERROR(D19/B19),"n/a",D19/B19)</f>
        <v>0.14417744308926664</v>
      </c>
      <c r="D19" s="29">
        <v>37.225959448209643</v>
      </c>
      <c r="F19" s="39">
        <v>1.5638897968218963</v>
      </c>
      <c r="G19" s="20"/>
      <c r="H19" s="29">
        <f>F19*D19</f>
        <v>58.217298157960734</v>
      </c>
      <c r="I19" s="61">
        <f>IF(ISERROR(H19/B19),"n/a",H19/B19)</f>
        <v>0.22547763217917374</v>
      </c>
    </row>
    <row r="20" spans="1:10" s="4" customFormat="1" x14ac:dyDescent="0.25">
      <c r="A20" s="17" t="s">
        <v>150</v>
      </c>
      <c r="B20" s="125">
        <f>SUM(B18:B19)</f>
        <v>258.19544757192983</v>
      </c>
      <c r="C20" s="61">
        <f>IF(ISERROR(D20/B20),"n/a",D20/B20)</f>
        <v>0.14417744308926664</v>
      </c>
      <c r="D20" s="29">
        <f>SUM(D18:D19)</f>
        <v>37.225959448209643</v>
      </c>
      <c r="F20" s="39"/>
      <c r="G20" s="20"/>
      <c r="H20" s="29">
        <f>SUM(H18:H19)</f>
        <v>58.217298157960734</v>
      </c>
      <c r="I20" s="61">
        <f>IF(ISERROR(H20/B20),"n/a",H20/B20)</f>
        <v>0.22547763217917374</v>
      </c>
      <c r="J20" s="17"/>
    </row>
    <row r="21" spans="1:10" s="4" customFormat="1" x14ac:dyDescent="0.25">
      <c r="A21" s="18"/>
      <c r="B21" s="24"/>
      <c r="C21" s="61"/>
      <c r="D21" s="29"/>
      <c r="F21" s="39"/>
      <c r="G21" s="20"/>
      <c r="H21" s="32"/>
      <c r="I21" s="64"/>
    </row>
    <row r="22" spans="1:10" x14ac:dyDescent="0.25">
      <c r="A22" s="11" t="s">
        <v>280</v>
      </c>
      <c r="C22" s="61"/>
      <c r="D22" s="29"/>
      <c r="H22" s="81"/>
      <c r="I22" s="19"/>
    </row>
    <row r="23" spans="1:10" x14ac:dyDescent="0.25">
      <c r="A23" s="18" t="s">
        <v>148</v>
      </c>
      <c r="B23" s="24">
        <v>650.79384217110635</v>
      </c>
      <c r="C23" s="61">
        <f>IF(ISERROR(D23/B23),"n/a",D23/B23)</f>
        <v>0.30462635287667628</v>
      </c>
      <c r="D23" s="29">
        <v>198.24895461518341</v>
      </c>
      <c r="E23" s="4"/>
      <c r="F23" s="39">
        <v>1.5638897968218963</v>
      </c>
      <c r="G23" s="20"/>
      <c r="H23" s="29">
        <f>F23*D23</f>
        <v>310.03951735329252</v>
      </c>
      <c r="I23" s="61">
        <f>IF(ISERROR(H23/B23),"n/a",H23/B23)</f>
        <v>0.47640204510690054</v>
      </c>
    </row>
    <row r="24" spans="1:10" x14ac:dyDescent="0.25">
      <c r="A24" s="18" t="s">
        <v>149</v>
      </c>
      <c r="B24" s="24">
        <v>2795.5533837645507</v>
      </c>
      <c r="C24" s="61">
        <f>IF(ISERROR(D24/B24),"n/a",D24/B24)</f>
        <v>0.14417744308926661</v>
      </c>
      <c r="D24" s="29">
        <v>403.05573889072025</v>
      </c>
      <c r="E24" s="4"/>
      <c r="F24" s="39">
        <v>1.5638897968218963</v>
      </c>
      <c r="G24" s="20"/>
      <c r="H24" s="29">
        <f>F24*D24</f>
        <v>630.33475760170779</v>
      </c>
      <c r="I24" s="61">
        <f>IF(ISERROR(H24/B24),"n/a",H24/B24)</f>
        <v>0.22547763217917369</v>
      </c>
    </row>
    <row r="25" spans="1:10" x14ac:dyDescent="0.25">
      <c r="A25" s="17" t="s">
        <v>151</v>
      </c>
      <c r="B25" s="125">
        <f>SUM(B23:B24)</f>
        <v>3446.3472259356572</v>
      </c>
      <c r="C25" s="61">
        <f>IF(ISERROR(D25/B25),"n/a",D25/B25)</f>
        <v>0.17447594629489313</v>
      </c>
      <c r="D25" s="29">
        <f>SUM(D23:D24)</f>
        <v>601.30469350590363</v>
      </c>
      <c r="E25" s="4"/>
      <c r="F25" s="39"/>
      <c r="G25" s="20"/>
      <c r="H25" s="29">
        <f>SUM(H23:H24)</f>
        <v>940.37427495500037</v>
      </c>
      <c r="I25" s="61">
        <f>IF(ISERROR(H25/B25),"n/a",H25/B25)</f>
        <v>0.27286115220142854</v>
      </c>
    </row>
    <row r="26" spans="1:10" x14ac:dyDescent="0.25">
      <c r="C26" s="61"/>
      <c r="D26" s="29"/>
      <c r="H26" s="81"/>
      <c r="I26" s="19"/>
    </row>
    <row r="27" spans="1:10" ht="13" x14ac:dyDescent="0.3">
      <c r="A27" s="14" t="s">
        <v>225</v>
      </c>
      <c r="B27" s="6">
        <f>SUM(B9,B14,B20,B25)</f>
        <v>4502.1446075009171</v>
      </c>
      <c r="C27" s="61">
        <f>IF(ISERROR(D27/B27),"n/a",D27/B27)</f>
        <v>0.15035417548302091</v>
      </c>
      <c r="D27" s="29">
        <f>SUM(D9,D14,D20,D25)</f>
        <v>676.91624036612916</v>
      </c>
      <c r="F27" s="39"/>
      <c r="H27" s="29">
        <f>SUM(H9,H14,H20,H25)</f>
        <v>1058.6224016116278</v>
      </c>
      <c r="I27" s="61">
        <f>IF(ISERROR(H27/B27),"n/a",H27/B27)</f>
        <v>0.23513736094746532</v>
      </c>
    </row>
    <row r="28" spans="1:10" hidden="1" x14ac:dyDescent="0.25">
      <c r="D28" s="19"/>
    </row>
    <row r="29" spans="1:10" hidden="1" x14ac:dyDescent="0.25">
      <c r="A29" s="13" t="s">
        <v>191</v>
      </c>
      <c r="B29" s="98">
        <v>0</v>
      </c>
      <c r="C29" s="98">
        <v>0</v>
      </c>
      <c r="D29" s="98">
        <v>0</v>
      </c>
      <c r="F29" s="99"/>
      <c r="H29" s="98">
        <f>H27/D27-F24</f>
        <v>0</v>
      </c>
      <c r="I29" s="98">
        <f>I27/C27-F24</f>
        <v>0</v>
      </c>
    </row>
    <row r="30" spans="1:10" x14ac:dyDescent="0.25">
      <c r="A30" s="204"/>
      <c r="B30" s="204"/>
      <c r="C30" s="204"/>
      <c r="D30" s="204"/>
    </row>
    <row r="31" spans="1:10" x14ac:dyDescent="0.25">
      <c r="A31" t="s">
        <v>235</v>
      </c>
    </row>
    <row r="32" spans="1:10" x14ac:dyDescent="0.25">
      <c r="A32" s="17" t="s">
        <v>800</v>
      </c>
    </row>
    <row r="33" spans="1:1" x14ac:dyDescent="0.25">
      <c r="A33" s="17" t="s">
        <v>795</v>
      </c>
    </row>
    <row r="34" spans="1:1" x14ac:dyDescent="0.25">
      <c r="A34" s="11" t="s">
        <v>450</v>
      </c>
    </row>
    <row r="35" spans="1:1" x14ac:dyDescent="0.25">
      <c r="A35" s="11" t="s">
        <v>665</v>
      </c>
    </row>
  </sheetData>
  <phoneticPr fontId="5" type="noConversion"/>
  <printOptions horizontalCentered="1"/>
  <pageMargins left="0.75" right="0.75" top="1" bottom="1" header="0.5" footer="0.5"/>
  <pageSetup orientation="landscape" r:id="rId1"/>
  <headerFooter alignWithMargins="0">
    <oddFooter>&amp;L&amp;F</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8">
    <pageSetUpPr fitToPage="1"/>
  </sheetPr>
  <dimension ref="A1:J25"/>
  <sheetViews>
    <sheetView zoomScale="70" workbookViewId="0"/>
  </sheetViews>
  <sheetFormatPr defaultColWidth="9.08984375" defaultRowHeight="12.5" x14ac:dyDescent="0.25"/>
  <cols>
    <col min="1" max="1" width="43.453125" style="4" customWidth="1"/>
    <col min="2" max="4" width="11.6328125" style="4" customWidth="1"/>
    <col min="5" max="5" width="2.6328125" style="4" customWidth="1"/>
    <col min="6" max="6" width="11.6328125" style="4" customWidth="1"/>
    <col min="7" max="7" width="2.6328125" style="4" customWidth="1"/>
    <col min="8" max="9" width="11.6328125" style="4" customWidth="1"/>
    <col min="10" max="16384" width="9.08984375" style="4"/>
  </cols>
  <sheetData>
    <row r="1" spans="1:10" ht="15.5" x14ac:dyDescent="0.35">
      <c r="A1" s="117" t="s">
        <v>713</v>
      </c>
    </row>
    <row r="2" spans="1:10" ht="15.5" x14ac:dyDescent="0.35">
      <c r="A2" s="117" t="s">
        <v>787</v>
      </c>
    </row>
    <row r="3" spans="1:10" ht="25.5" x14ac:dyDescent="0.3">
      <c r="A3" s="5" t="s">
        <v>155</v>
      </c>
      <c r="B3" s="125" t="s">
        <v>250</v>
      </c>
      <c r="C3" s="135" t="s">
        <v>104</v>
      </c>
      <c r="D3" s="138" t="s">
        <v>249</v>
      </c>
      <c r="E3" s="120"/>
      <c r="F3" s="119" t="s">
        <v>246</v>
      </c>
      <c r="G3" s="118"/>
      <c r="H3" s="118" t="s">
        <v>133</v>
      </c>
      <c r="I3" s="31" t="s">
        <v>158</v>
      </c>
    </row>
    <row r="4" spans="1:10" x14ac:dyDescent="0.25">
      <c r="A4" s="18" t="s">
        <v>153</v>
      </c>
      <c r="B4" s="24">
        <v>1062.0566745539847</v>
      </c>
      <c r="C4" s="137">
        <f>D4/B4</f>
        <v>0.48016359371070705</v>
      </c>
      <c r="D4" s="29">
        <v>509.96094957828416</v>
      </c>
      <c r="E4" s="139"/>
      <c r="F4" s="139">
        <v>4.0261455179964143</v>
      </c>
      <c r="G4" s="139"/>
      <c r="H4" s="137">
        <f>C4*F4</f>
        <v>1.9332085007234145</v>
      </c>
      <c r="I4" s="64">
        <f>B4/B$4*H4</f>
        <v>1.9332085007234145</v>
      </c>
    </row>
    <row r="5" spans="1:10" x14ac:dyDescent="0.25">
      <c r="A5" s="71" t="s">
        <v>152</v>
      </c>
      <c r="B5" s="24">
        <v>1062.0566745539847</v>
      </c>
      <c r="C5" s="137">
        <f>D5/B5</f>
        <v>0.32725136191697785</v>
      </c>
      <c r="D5" s="29">
        <v>347.55949318080803</v>
      </c>
      <c r="E5" s="28"/>
      <c r="F5" s="139">
        <v>4.0261455179964143</v>
      </c>
      <c r="G5" s="58"/>
      <c r="H5" s="137">
        <f>C5*F5</f>
        <v>1.3175616040402629</v>
      </c>
      <c r="I5" s="64">
        <f>B5/B$4*H5</f>
        <v>1.3175616040402629</v>
      </c>
    </row>
    <row r="6" spans="1:10" x14ac:dyDescent="0.25">
      <c r="B6" s="28"/>
      <c r="C6" s="64"/>
      <c r="D6" s="29"/>
      <c r="E6" s="28"/>
      <c r="F6" s="58"/>
      <c r="G6" s="58"/>
      <c r="H6" s="137"/>
      <c r="I6" s="64"/>
    </row>
    <row r="7" spans="1:10" ht="13" x14ac:dyDescent="0.3">
      <c r="A7" s="14" t="s">
        <v>163</v>
      </c>
      <c r="B7" s="28"/>
      <c r="C7" s="64"/>
      <c r="D7" s="29"/>
      <c r="E7" s="28"/>
      <c r="F7" s="58"/>
      <c r="G7" s="58"/>
      <c r="H7" s="137"/>
      <c r="I7" s="137">
        <f>SUM(I4:I5)</f>
        <v>3.2507701047636774</v>
      </c>
      <c r="J7" s="17"/>
    </row>
    <row r="8" spans="1:10" x14ac:dyDescent="0.25">
      <c r="B8" s="28"/>
      <c r="C8" s="64"/>
      <c r="D8" s="29"/>
      <c r="E8" s="28"/>
      <c r="F8" s="58"/>
      <c r="G8" s="58"/>
      <c r="H8" s="137"/>
      <c r="I8" s="64"/>
    </row>
    <row r="9" spans="1:10" ht="13" x14ac:dyDescent="0.3">
      <c r="A9" s="5" t="s">
        <v>157</v>
      </c>
      <c r="C9" s="64"/>
      <c r="D9" s="29"/>
      <c r="H9" s="64"/>
      <c r="I9" s="64"/>
    </row>
    <row r="10" spans="1:10" x14ac:dyDescent="0.25">
      <c r="A10" s="18" t="s">
        <v>153</v>
      </c>
      <c r="B10" s="24">
        <v>9756.0890741113872</v>
      </c>
      <c r="C10" s="137">
        <f>D10/B10</f>
        <v>0.48016359371070727</v>
      </c>
      <c r="D10" s="29">
        <v>4684.5187903870901</v>
      </c>
      <c r="F10" s="139">
        <v>4.0261455179964143</v>
      </c>
      <c r="H10" s="137">
        <f>C10*F10</f>
        <v>1.9332085007234154</v>
      </c>
      <c r="I10" s="64">
        <f>B10/B$10*H10</f>
        <v>1.9332085007234154</v>
      </c>
    </row>
    <row r="11" spans="1:10" x14ac:dyDescent="0.25">
      <c r="A11" s="71" t="s">
        <v>152</v>
      </c>
      <c r="B11" s="24">
        <v>9756.0890741113872</v>
      </c>
      <c r="C11" s="137">
        <f>D11/B11</f>
        <v>0.32725136191697801</v>
      </c>
      <c r="D11" s="29">
        <v>3192.6934364863005</v>
      </c>
      <c r="F11" s="139">
        <v>4.0261455179964143</v>
      </c>
      <c r="H11" s="137">
        <f>C11*F11</f>
        <v>1.3175616040402636</v>
      </c>
      <c r="I11" s="64">
        <f>B11/B$10*H11</f>
        <v>1.3175616040402636</v>
      </c>
    </row>
    <row r="12" spans="1:10" x14ac:dyDescent="0.25">
      <c r="I12" s="64"/>
    </row>
    <row r="13" spans="1:10" ht="13" x14ac:dyDescent="0.3">
      <c r="A13" s="14" t="s">
        <v>266</v>
      </c>
      <c r="I13" s="137">
        <f>SUM(I10:I11)</f>
        <v>3.2507701047636788</v>
      </c>
    </row>
    <row r="14" spans="1:10" hidden="1" x14ac:dyDescent="0.25"/>
    <row r="15" spans="1:10" hidden="1" x14ac:dyDescent="0.25">
      <c r="B15" s="402" t="s">
        <v>188</v>
      </c>
      <c r="C15" s="94">
        <v>0</v>
      </c>
      <c r="D15" s="94">
        <v>0</v>
      </c>
      <c r="F15" s="94">
        <f>(I7*B4+I13*B10)-SUM(D4:D5,D10:D11)*F4</f>
        <v>0</v>
      </c>
    </row>
    <row r="16" spans="1:10" hidden="1" x14ac:dyDescent="0.25">
      <c r="B16" s="402" t="s">
        <v>188</v>
      </c>
      <c r="C16" s="94">
        <v>0</v>
      </c>
      <c r="D16" s="94">
        <v>0</v>
      </c>
      <c r="F16" s="24"/>
    </row>
    <row r="17" spans="1:4" hidden="1" x14ac:dyDescent="0.25">
      <c r="B17" s="402" t="s">
        <v>188</v>
      </c>
      <c r="C17" s="94"/>
      <c r="D17" s="94">
        <v>0</v>
      </c>
    </row>
    <row r="18" spans="1:4" hidden="1" x14ac:dyDescent="0.25">
      <c r="B18" s="402" t="s">
        <v>188</v>
      </c>
      <c r="C18" s="94">
        <v>0</v>
      </c>
      <c r="D18" s="94">
        <v>0</v>
      </c>
    </row>
    <row r="19" spans="1:4" hidden="1" x14ac:dyDescent="0.25">
      <c r="B19" s="402" t="s">
        <v>188</v>
      </c>
      <c r="C19" s="94">
        <v>0</v>
      </c>
      <c r="D19" s="94">
        <v>0</v>
      </c>
    </row>
    <row r="20" spans="1:4" hidden="1" x14ac:dyDescent="0.25">
      <c r="B20" s="402" t="s">
        <v>188</v>
      </c>
      <c r="C20" s="94"/>
      <c r="D20" s="94">
        <v>0</v>
      </c>
    </row>
    <row r="21" spans="1:4" hidden="1" x14ac:dyDescent="0.25">
      <c r="B21" s="402" t="s">
        <v>188</v>
      </c>
      <c r="C21" s="94">
        <f>C4-C10</f>
        <v>0</v>
      </c>
      <c r="D21" s="94">
        <f>C5-C11</f>
        <v>0</v>
      </c>
    </row>
    <row r="22" spans="1:4" x14ac:dyDescent="0.25">
      <c r="A22" s="103"/>
      <c r="B22" s="215"/>
      <c r="C22" s="216"/>
      <c r="D22" s="216"/>
    </row>
    <row r="23" spans="1:4" x14ac:dyDescent="0.25">
      <c r="A23" s="4" t="s">
        <v>235</v>
      </c>
    </row>
    <row r="24" spans="1:4" x14ac:dyDescent="0.25">
      <c r="A24" s="17" t="s">
        <v>814</v>
      </c>
    </row>
    <row r="25" spans="1:4" x14ac:dyDescent="0.25">
      <c r="A25" s="17" t="s">
        <v>795</v>
      </c>
    </row>
  </sheetData>
  <phoneticPr fontId="0" type="noConversion"/>
  <printOptions horizontalCentered="1"/>
  <pageMargins left="0.75" right="0.75" top="1" bottom="1" header="0.5" footer="0.5"/>
  <pageSetup orientation="landscape" r:id="rId1"/>
  <headerFooter alignWithMargins="0">
    <oddFooter>&amp;L&amp;F</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50">
    <pageSetUpPr fitToPage="1"/>
  </sheetPr>
  <dimension ref="A1:J39"/>
  <sheetViews>
    <sheetView zoomScale="70" workbookViewId="0"/>
  </sheetViews>
  <sheetFormatPr defaultColWidth="9.08984375" defaultRowHeight="12.5" x14ac:dyDescent="0.25"/>
  <cols>
    <col min="1" max="1" width="43.453125" style="4" customWidth="1"/>
    <col min="2" max="2" width="11.6328125" style="48" customWidth="1"/>
    <col min="3" max="3" width="11.6328125" style="28" customWidth="1"/>
    <col min="4" max="4" width="11.6328125" style="37" customWidth="1"/>
    <col min="5" max="5" width="2.54296875" style="4" customWidth="1"/>
    <col min="6" max="6" width="11.6328125" style="4" customWidth="1"/>
    <col min="7" max="7" width="2.54296875" style="4" customWidth="1"/>
    <col min="8" max="9" width="11.6328125" style="4" customWidth="1"/>
    <col min="10" max="16384" width="9.08984375" style="4"/>
  </cols>
  <sheetData>
    <row r="1" spans="1:10" ht="15.5" x14ac:dyDescent="0.35">
      <c r="A1" s="117" t="s">
        <v>714</v>
      </c>
    </row>
    <row r="2" spans="1:10" ht="15.5" x14ac:dyDescent="0.35">
      <c r="A2" s="117" t="s">
        <v>787</v>
      </c>
    </row>
    <row r="3" spans="1:10" ht="25" x14ac:dyDescent="0.25">
      <c r="B3" s="125" t="s">
        <v>250</v>
      </c>
      <c r="C3" s="135" t="s">
        <v>104</v>
      </c>
      <c r="D3" s="138" t="s">
        <v>249</v>
      </c>
      <c r="E3" s="120"/>
      <c r="F3" s="119" t="s">
        <v>246</v>
      </c>
      <c r="G3" s="118"/>
      <c r="H3" s="118" t="s">
        <v>133</v>
      </c>
      <c r="I3" s="31" t="s">
        <v>158</v>
      </c>
    </row>
    <row r="4" spans="1:10" ht="13" x14ac:dyDescent="0.3">
      <c r="A4" s="5" t="s">
        <v>155</v>
      </c>
      <c r="B4" s="37"/>
      <c r="H4" s="28"/>
    </row>
    <row r="5" spans="1:10" x14ac:dyDescent="0.25">
      <c r="A5" s="18" t="s">
        <v>156</v>
      </c>
      <c r="B5" s="24">
        <v>791.03251917893294</v>
      </c>
      <c r="C5" s="137">
        <f>D5/B5</f>
        <v>0.35298291098887619</v>
      </c>
      <c r="D5" s="29">
        <v>279.2209613066438</v>
      </c>
      <c r="F5" s="139">
        <v>1.3146614554631439</v>
      </c>
      <c r="G5" s="139"/>
      <c r="H5" s="137">
        <f>C5*F5</f>
        <v>0.46405302751425337</v>
      </c>
      <c r="I5" s="64">
        <f>H5*B5/$B$5</f>
        <v>0.46405302751425337</v>
      </c>
    </row>
    <row r="6" spans="1:10" x14ac:dyDescent="0.25">
      <c r="A6" s="18" t="s">
        <v>160</v>
      </c>
      <c r="B6" s="24"/>
      <c r="C6" s="137"/>
      <c r="D6" s="29"/>
      <c r="F6" s="139"/>
      <c r="G6" s="139"/>
      <c r="H6" s="137"/>
      <c r="I6" s="64"/>
    </row>
    <row r="7" spans="1:10" x14ac:dyDescent="0.25">
      <c r="A7" s="59" t="s">
        <v>161</v>
      </c>
      <c r="B7" s="24">
        <v>53.948549725807538</v>
      </c>
      <c r="C7" s="137">
        <f>D7/B7</f>
        <v>0.33151577415804945</v>
      </c>
      <c r="D7" s="29">
        <v>17.884795227055111</v>
      </c>
      <c r="F7" s="139">
        <v>1.3146614554631439</v>
      </c>
      <c r="G7" s="139"/>
      <c r="H7" s="137">
        <f>C7*F7</f>
        <v>0.4358310101636122</v>
      </c>
      <c r="I7" s="64">
        <f>H7*B7/$B$5</f>
        <v>2.972374757521442E-2</v>
      </c>
    </row>
    <row r="8" spans="1:10" x14ac:dyDescent="0.25">
      <c r="A8" s="59" t="s">
        <v>162</v>
      </c>
      <c r="B8" s="24">
        <v>466.05981407807354</v>
      </c>
      <c r="C8" s="137">
        <f>D8/B8</f>
        <v>0.33151577415804939</v>
      </c>
      <c r="D8" s="29">
        <v>154.5061800680491</v>
      </c>
      <c r="F8" s="139">
        <v>1.3146614554631439</v>
      </c>
      <c r="G8" s="139"/>
      <c r="H8" s="137">
        <f>C8*F8</f>
        <v>0.43583101016361214</v>
      </c>
      <c r="I8" s="64">
        <f>H8*B8/$B$5</f>
        <v>0.25678251480375008</v>
      </c>
    </row>
    <row r="9" spans="1:10" x14ac:dyDescent="0.25">
      <c r="A9" s="60" t="s">
        <v>159</v>
      </c>
      <c r="B9" s="24">
        <v>271.02415537505186</v>
      </c>
      <c r="C9" s="137">
        <f>D9/B9</f>
        <v>0.33151577415804934</v>
      </c>
      <c r="D9" s="29">
        <v>89.84878268469177</v>
      </c>
      <c r="F9" s="139">
        <v>1.3146614554631439</v>
      </c>
      <c r="G9" s="139"/>
      <c r="H9" s="137">
        <f>C9*F9</f>
        <v>0.43583101016361209</v>
      </c>
      <c r="I9" s="64">
        <f>H9*B9/$B$5</f>
        <v>0.14932474778464763</v>
      </c>
    </row>
    <row r="10" spans="1:10" x14ac:dyDescent="0.25">
      <c r="A10" s="60"/>
      <c r="B10" s="24"/>
      <c r="C10" s="137"/>
      <c r="D10" s="29"/>
      <c r="F10" s="139"/>
      <c r="G10" s="139"/>
      <c r="H10" s="137"/>
      <c r="I10" s="64"/>
    </row>
    <row r="11" spans="1:10" ht="13" x14ac:dyDescent="0.3">
      <c r="A11" s="14" t="s">
        <v>163</v>
      </c>
      <c r="B11" s="37"/>
      <c r="C11" s="64"/>
      <c r="D11" s="29"/>
      <c r="F11" s="58"/>
      <c r="G11" s="58"/>
      <c r="H11" s="64"/>
      <c r="I11" s="64">
        <f>SUM(I5:I9)</f>
        <v>0.89988403767786551</v>
      </c>
      <c r="J11" s="17"/>
    </row>
    <row r="12" spans="1:10" x14ac:dyDescent="0.25">
      <c r="B12" s="37"/>
      <c r="C12" s="64"/>
      <c r="D12" s="29"/>
      <c r="F12" s="58"/>
      <c r="G12" s="58"/>
      <c r="H12" s="64"/>
      <c r="I12" s="64"/>
    </row>
    <row r="13" spans="1:10" ht="13" x14ac:dyDescent="0.3">
      <c r="A13" s="5" t="s">
        <v>157</v>
      </c>
      <c r="B13" s="37"/>
      <c r="C13" s="64"/>
      <c r="D13" s="29"/>
      <c r="F13" s="58"/>
      <c r="G13" s="58"/>
      <c r="H13" s="64"/>
      <c r="I13" s="64"/>
    </row>
    <row r="14" spans="1:10" x14ac:dyDescent="0.25">
      <c r="A14" s="18" t="s">
        <v>156</v>
      </c>
      <c r="B14" s="24">
        <v>6927.0048622810282</v>
      </c>
      <c r="C14" s="137">
        <f>D14/B14</f>
        <v>0.35298291098887624</v>
      </c>
      <c r="D14" s="29">
        <v>2445.114340722057</v>
      </c>
      <c r="F14" s="139">
        <v>1.3146614554631439</v>
      </c>
      <c r="G14" s="139"/>
      <c r="H14" s="137">
        <f>C14*F14</f>
        <v>0.46405302751425342</v>
      </c>
      <c r="I14" s="64">
        <f>B14/$B$14*H14</f>
        <v>0.46405302751425342</v>
      </c>
    </row>
    <row r="15" spans="1:10" x14ac:dyDescent="0.25">
      <c r="A15" s="18" t="s">
        <v>160</v>
      </c>
      <c r="B15" s="37"/>
      <c r="C15" s="64"/>
      <c r="D15" s="29"/>
      <c r="H15" s="64"/>
      <c r="I15" s="64"/>
    </row>
    <row r="16" spans="1:10" x14ac:dyDescent="0.25">
      <c r="A16" s="59" t="s">
        <v>161</v>
      </c>
      <c r="B16" s="24">
        <v>3599.7352096936788</v>
      </c>
      <c r="C16" s="137">
        <f>D16/B16</f>
        <v>0.33151577415804939</v>
      </c>
      <c r="D16" s="29">
        <v>1193.3690048055882</v>
      </c>
      <c r="F16" s="139">
        <v>1.3146614554631439</v>
      </c>
      <c r="G16" s="139"/>
      <c r="H16" s="137">
        <f>C16*F16</f>
        <v>0.43583101016361214</v>
      </c>
      <c r="I16" s="64">
        <f>B16/$B$14*H16</f>
        <v>0.22648695416761913</v>
      </c>
    </row>
    <row r="17" spans="1:9" x14ac:dyDescent="0.25">
      <c r="A17" s="59" t="s">
        <v>162</v>
      </c>
      <c r="B17" s="24">
        <v>498.1854407569927</v>
      </c>
      <c r="C17" s="137">
        <f>D17/B17</f>
        <v>0.33151577415804939</v>
      </c>
      <c r="D17" s="29">
        <v>165.1563320668235</v>
      </c>
      <c r="F17" s="139">
        <v>1.3146614554631439</v>
      </c>
      <c r="H17" s="137">
        <f>C17*F17</f>
        <v>0.43583101016361214</v>
      </c>
      <c r="I17" s="64">
        <f>B17/$B$14*H17</f>
        <v>3.1344667458833922E-2</v>
      </c>
    </row>
    <row r="18" spans="1:9" x14ac:dyDescent="0.25">
      <c r="A18" s="60" t="s">
        <v>159</v>
      </c>
      <c r="B18" s="24">
        <v>2829.0842118303572</v>
      </c>
      <c r="C18" s="137">
        <f>D18/B18</f>
        <v>0.33151577415804939</v>
      </c>
      <c r="D18" s="29">
        <v>937.88604264325591</v>
      </c>
      <c r="F18" s="139">
        <v>1.3146614554631439</v>
      </c>
      <c r="H18" s="137">
        <f>C18*F18</f>
        <v>0.43583101016361214</v>
      </c>
      <c r="I18" s="64">
        <f>B18/$B$14*H18</f>
        <v>0.1779993885371591</v>
      </c>
    </row>
    <row r="19" spans="1:9" x14ac:dyDescent="0.25">
      <c r="A19" s="60"/>
      <c r="B19" s="136"/>
      <c r="C19" s="136"/>
      <c r="D19" s="24"/>
      <c r="F19" s="139"/>
      <c r="H19" s="136"/>
      <c r="I19" s="64"/>
    </row>
    <row r="20" spans="1:9" ht="13" x14ac:dyDescent="0.3">
      <c r="A20" s="14" t="s">
        <v>266</v>
      </c>
      <c r="I20" s="64">
        <f>SUM(I14:I18)</f>
        <v>0.89988403767786562</v>
      </c>
    </row>
    <row r="21" spans="1:9" hidden="1" x14ac:dyDescent="0.25"/>
    <row r="22" spans="1:9" hidden="1" x14ac:dyDescent="0.25">
      <c r="B22" s="402" t="s">
        <v>188</v>
      </c>
      <c r="C22" s="94">
        <v>0</v>
      </c>
      <c r="D22" s="94">
        <v>0</v>
      </c>
    </row>
    <row r="23" spans="1:9" hidden="1" x14ac:dyDescent="0.25">
      <c r="B23" s="402" t="s">
        <v>188</v>
      </c>
      <c r="C23" s="94">
        <v>0</v>
      </c>
      <c r="D23" s="94">
        <v>0</v>
      </c>
    </row>
    <row r="24" spans="1:9" hidden="1" x14ac:dyDescent="0.25">
      <c r="B24" s="402" t="s">
        <v>188</v>
      </c>
      <c r="C24" s="94">
        <v>0</v>
      </c>
      <c r="D24" s="94">
        <v>0</v>
      </c>
    </row>
    <row r="25" spans="1:9" hidden="1" x14ac:dyDescent="0.25">
      <c r="B25" s="402" t="s">
        <v>188</v>
      </c>
      <c r="C25" s="94">
        <v>0</v>
      </c>
      <c r="D25" s="94">
        <v>0</v>
      </c>
    </row>
    <row r="26" spans="1:9" hidden="1" x14ac:dyDescent="0.25">
      <c r="B26" s="402" t="s">
        <v>188</v>
      </c>
      <c r="C26" s="96"/>
      <c r="D26" s="94">
        <v>0</v>
      </c>
    </row>
    <row r="27" spans="1:9" hidden="1" x14ac:dyDescent="0.25">
      <c r="B27" s="402" t="s">
        <v>188</v>
      </c>
      <c r="C27" s="94">
        <v>0</v>
      </c>
      <c r="D27" s="94">
        <v>0</v>
      </c>
    </row>
    <row r="28" spans="1:9" hidden="1" x14ac:dyDescent="0.25">
      <c r="B28" s="402" t="s">
        <v>188</v>
      </c>
      <c r="C28" s="94">
        <v>0</v>
      </c>
      <c r="D28" s="94">
        <v>0</v>
      </c>
    </row>
    <row r="29" spans="1:9" hidden="1" x14ac:dyDescent="0.25">
      <c r="B29" s="402" t="s">
        <v>188</v>
      </c>
      <c r="C29" s="94">
        <v>0</v>
      </c>
      <c r="D29" s="94">
        <v>0</v>
      </c>
    </row>
    <row r="30" spans="1:9" hidden="1" x14ac:dyDescent="0.25">
      <c r="B30" s="402" t="s">
        <v>188</v>
      </c>
      <c r="C30" s="94">
        <v>0</v>
      </c>
      <c r="D30" s="94">
        <v>0</v>
      </c>
    </row>
    <row r="31" spans="1:9" hidden="1" x14ac:dyDescent="0.25">
      <c r="B31" s="402" t="s">
        <v>188</v>
      </c>
      <c r="C31" s="96"/>
      <c r="D31" s="94">
        <v>0</v>
      </c>
    </row>
    <row r="32" spans="1:9" hidden="1" x14ac:dyDescent="0.25">
      <c r="B32" s="402" t="s">
        <v>188</v>
      </c>
      <c r="C32" s="94">
        <f>C5-C14</f>
        <v>0</v>
      </c>
      <c r="D32" s="94">
        <f>B5-B7-B8-B9</f>
        <v>0</v>
      </c>
    </row>
    <row r="33" spans="1:4" hidden="1" x14ac:dyDescent="0.25">
      <c r="B33" s="402" t="s">
        <v>188</v>
      </c>
      <c r="C33" s="94">
        <f>C7-C16</f>
        <v>0</v>
      </c>
      <c r="D33" s="94">
        <f>B14-B16-B17-B18</f>
        <v>0</v>
      </c>
    </row>
    <row r="34" spans="1:4" hidden="1" x14ac:dyDescent="0.25">
      <c r="B34" s="402" t="s">
        <v>188</v>
      </c>
      <c r="C34" s="94">
        <f>C8-C17</f>
        <v>0</v>
      </c>
    </row>
    <row r="35" spans="1:4" hidden="1" x14ac:dyDescent="0.25">
      <c r="B35" s="402" t="s">
        <v>188</v>
      </c>
      <c r="C35" s="94">
        <f>C9-C18</f>
        <v>0</v>
      </c>
    </row>
    <row r="36" spans="1:4" x14ac:dyDescent="0.25">
      <c r="A36" s="103"/>
      <c r="B36" s="217"/>
      <c r="C36" s="213"/>
      <c r="D36" s="218"/>
    </row>
    <row r="37" spans="1:4" x14ac:dyDescent="0.25">
      <c r="A37" s="4" t="s">
        <v>235</v>
      </c>
    </row>
    <row r="38" spans="1:4" x14ac:dyDescent="0.25">
      <c r="A38" s="17" t="s">
        <v>814</v>
      </c>
    </row>
    <row r="39" spans="1:4" x14ac:dyDescent="0.25">
      <c r="A39" s="17" t="s">
        <v>795</v>
      </c>
    </row>
  </sheetData>
  <phoneticPr fontId="0" type="noConversion"/>
  <printOptions horizontalCentered="1"/>
  <pageMargins left="0.75" right="0.75" top="1" bottom="1" header="0.5" footer="0.5"/>
  <pageSetup orientation="landscape" r:id="rId1"/>
  <headerFooter alignWithMargins="0">
    <oddFooter>&amp;L&amp;F</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51">
    <pageSetUpPr fitToPage="1"/>
  </sheetPr>
  <dimension ref="A1:K23"/>
  <sheetViews>
    <sheetView tabSelected="1" zoomScale="70" workbookViewId="0"/>
  </sheetViews>
  <sheetFormatPr defaultColWidth="9.08984375" defaultRowHeight="12.5" x14ac:dyDescent="0.25"/>
  <cols>
    <col min="1" max="1" width="43.453125" style="4" customWidth="1"/>
    <col min="2" max="2" width="11.6328125" style="37" customWidth="1"/>
    <col min="3" max="3" width="11.6328125" style="47" customWidth="1"/>
    <col min="4" max="4" width="11.6328125" style="48" customWidth="1"/>
    <col min="5" max="5" width="2.54296875" style="4" customWidth="1"/>
    <col min="6" max="6" width="11.6328125" style="4" customWidth="1"/>
    <col min="7" max="7" width="2.54296875" style="4" customWidth="1"/>
    <col min="8" max="8" width="11.6328125" style="28" customWidth="1"/>
    <col min="9" max="9" width="11.6328125" style="4" customWidth="1"/>
    <col min="10" max="16384" width="9.08984375" style="4"/>
  </cols>
  <sheetData>
    <row r="1" spans="1:11" s="2" customFormat="1" ht="15.5" x14ac:dyDescent="0.35">
      <c r="A1" s="117" t="s">
        <v>715</v>
      </c>
      <c r="B1" s="67"/>
      <c r="C1" s="68"/>
      <c r="D1" s="69"/>
      <c r="H1" s="70"/>
    </row>
    <row r="2" spans="1:11" ht="15.5" x14ac:dyDescent="0.35">
      <c r="A2" s="117" t="s">
        <v>787</v>
      </c>
      <c r="B2" s="53"/>
      <c r="C2" s="44"/>
      <c r="D2" s="45"/>
      <c r="E2" s="1"/>
      <c r="F2" s="1"/>
      <c r="G2" s="1"/>
      <c r="H2" s="46"/>
    </row>
    <row r="3" spans="1:11" ht="25.5" x14ac:dyDescent="0.3">
      <c r="A3" s="5" t="s">
        <v>155</v>
      </c>
      <c r="B3" s="125" t="s">
        <v>250</v>
      </c>
      <c r="C3" s="135" t="s">
        <v>104</v>
      </c>
      <c r="D3" s="138" t="s">
        <v>249</v>
      </c>
      <c r="E3" s="120"/>
      <c r="F3" s="119" t="s">
        <v>246</v>
      </c>
      <c r="G3" s="118"/>
      <c r="H3" s="118" t="s">
        <v>133</v>
      </c>
      <c r="I3" s="31" t="s">
        <v>158</v>
      </c>
    </row>
    <row r="4" spans="1:11" x14ac:dyDescent="0.25">
      <c r="A4" s="18" t="s">
        <v>154</v>
      </c>
      <c r="B4" s="7">
        <v>72.875937263959116</v>
      </c>
      <c r="C4" s="64">
        <f>D4/B4</f>
        <v>0.38401161462769573</v>
      </c>
      <c r="D4" s="140">
        <v>27.9852063362396</v>
      </c>
      <c r="E4" s="43"/>
      <c r="F4" s="139">
        <v>1.3000580766015875</v>
      </c>
      <c r="G4" s="139"/>
      <c r="H4" s="137">
        <f>C4*F4</f>
        <v>0.49923740110555215</v>
      </c>
      <c r="I4" s="64">
        <f>D4/SUM($D$4:$D$5)*H4</f>
        <v>0.13424040920796562</v>
      </c>
      <c r="J4" s="64"/>
      <c r="K4" s="48"/>
    </row>
    <row r="5" spans="1:11" x14ac:dyDescent="0.25">
      <c r="A5" s="66" t="s">
        <v>165</v>
      </c>
      <c r="B5" s="7">
        <v>198.14821811109269</v>
      </c>
      <c r="C5" s="64">
        <f>D5/B5</f>
        <v>0.38401161462769579</v>
      </c>
      <c r="D5" s="140">
        <v>76.091217172441532</v>
      </c>
      <c r="E5" s="43"/>
      <c r="F5" s="139">
        <v>1.3000580766015875</v>
      </c>
      <c r="G5" s="139"/>
      <c r="H5" s="137">
        <f>C5*F5</f>
        <v>0.4992374011055522</v>
      </c>
      <c r="I5" s="64">
        <f>D5/SUM($D$4:$D$5)*H5</f>
        <v>0.36499699189758661</v>
      </c>
      <c r="J5" s="64"/>
      <c r="K5" s="48"/>
    </row>
    <row r="6" spans="1:11" x14ac:dyDescent="0.25">
      <c r="B6" s="48"/>
      <c r="C6" s="64"/>
      <c r="D6" s="29"/>
      <c r="F6" s="58"/>
      <c r="G6" s="58"/>
      <c r="H6" s="137"/>
      <c r="I6" s="64"/>
      <c r="J6" s="64"/>
    </row>
    <row r="7" spans="1:11" ht="13" x14ac:dyDescent="0.3">
      <c r="A7" s="14" t="s">
        <v>163</v>
      </c>
      <c r="B7" s="48"/>
      <c r="C7" s="64"/>
      <c r="D7" s="29"/>
      <c r="F7" s="58"/>
      <c r="G7" s="58"/>
      <c r="H7" s="137"/>
      <c r="I7" s="64">
        <f>SUM(I4:I5)</f>
        <v>0.49923740110555226</v>
      </c>
      <c r="J7" s="206"/>
    </row>
    <row r="8" spans="1:11" x14ac:dyDescent="0.25">
      <c r="B8" s="48"/>
      <c r="C8" s="64"/>
      <c r="D8" s="29"/>
      <c r="F8" s="58"/>
      <c r="G8" s="58"/>
      <c r="H8" s="137"/>
      <c r="I8" s="64"/>
      <c r="J8" s="64"/>
    </row>
    <row r="9" spans="1:11" ht="13" x14ac:dyDescent="0.3">
      <c r="A9" s="5" t="s">
        <v>157</v>
      </c>
      <c r="B9" s="48"/>
      <c r="C9" s="64"/>
      <c r="D9" s="29"/>
      <c r="H9" s="64"/>
      <c r="I9" s="64"/>
      <c r="J9" s="64"/>
      <c r="K9" s="48"/>
    </row>
    <row r="10" spans="1:11" x14ac:dyDescent="0.25">
      <c r="A10" s="18" t="s">
        <v>154</v>
      </c>
      <c r="B10" s="7">
        <v>532.10982420646326</v>
      </c>
      <c r="C10" s="64">
        <f>D10/B10</f>
        <v>0.38401161462769573</v>
      </c>
      <c r="D10" s="140">
        <v>204.33635275278328</v>
      </c>
      <c r="E10" s="43"/>
      <c r="F10" s="139">
        <v>1.3000580766015875</v>
      </c>
      <c r="G10" s="139"/>
      <c r="H10" s="137">
        <f>C10*F10</f>
        <v>0.49923740110555215</v>
      </c>
      <c r="I10" s="64">
        <f>D10/SUM($D$10:$D$11)*H10</f>
        <v>0.20668254587995946</v>
      </c>
      <c r="J10" s="64"/>
    </row>
    <row r="11" spans="1:11" x14ac:dyDescent="0.25">
      <c r="A11" s="66" t="s">
        <v>165</v>
      </c>
      <c r="B11" s="7">
        <v>753.1904153882972</v>
      </c>
      <c r="C11" s="64">
        <f>D11/B11</f>
        <v>0.38401161462769567</v>
      </c>
      <c r="D11" s="140">
        <v>289.23386753536482</v>
      </c>
      <c r="F11" s="139">
        <v>1.3000580766015875</v>
      </c>
      <c r="H11" s="137">
        <f>C11*F11</f>
        <v>0.49923740110555204</v>
      </c>
      <c r="I11" s="64">
        <f>D11/SUM($D$10:$D$11)*H11</f>
        <v>0.29255485522559266</v>
      </c>
      <c r="J11" s="64"/>
    </row>
    <row r="12" spans="1:11" x14ac:dyDescent="0.25">
      <c r="H12" s="64"/>
      <c r="I12" s="64"/>
      <c r="J12" s="64"/>
    </row>
    <row r="13" spans="1:11" ht="13" x14ac:dyDescent="0.3">
      <c r="A13" s="14" t="s">
        <v>266</v>
      </c>
      <c r="D13" s="7"/>
      <c r="H13" s="64"/>
      <c r="I13" s="64">
        <f>SUM(I10:I11)</f>
        <v>0.49923740110555215</v>
      </c>
      <c r="J13" s="64"/>
    </row>
    <row r="14" spans="1:11" hidden="1" x14ac:dyDescent="0.25"/>
    <row r="15" spans="1:11" hidden="1" x14ac:dyDescent="0.25">
      <c r="B15" s="402" t="s">
        <v>188</v>
      </c>
      <c r="C15" s="94">
        <v>0</v>
      </c>
      <c r="D15" s="94">
        <v>0</v>
      </c>
      <c r="I15" s="48"/>
    </row>
    <row r="16" spans="1:11" hidden="1" x14ac:dyDescent="0.25">
      <c r="B16" s="402" t="s">
        <v>188</v>
      </c>
      <c r="C16" s="94">
        <v>0</v>
      </c>
      <c r="D16" s="94">
        <v>0</v>
      </c>
    </row>
    <row r="17" spans="1:4" hidden="1" x14ac:dyDescent="0.25">
      <c r="B17" s="402" t="s">
        <v>188</v>
      </c>
      <c r="C17" s="94">
        <v>0</v>
      </c>
      <c r="D17" s="94">
        <v>0</v>
      </c>
    </row>
    <row r="18" spans="1:4" hidden="1" x14ac:dyDescent="0.25">
      <c r="B18" s="402" t="s">
        <v>188</v>
      </c>
      <c r="C18" s="94">
        <v>0</v>
      </c>
      <c r="D18" s="94">
        <v>0</v>
      </c>
    </row>
    <row r="19" spans="1:4" hidden="1" x14ac:dyDescent="0.25">
      <c r="B19" s="402" t="s">
        <v>188</v>
      </c>
      <c r="C19" s="94">
        <f>C4-C10</f>
        <v>0</v>
      </c>
      <c r="D19" s="94">
        <f>C5-C11</f>
        <v>0</v>
      </c>
    </row>
    <row r="20" spans="1:4" x14ac:dyDescent="0.25">
      <c r="A20" s="103"/>
      <c r="B20" s="218"/>
      <c r="C20" s="210"/>
      <c r="D20" s="217"/>
    </row>
    <row r="21" spans="1:4" x14ac:dyDescent="0.25">
      <c r="A21" s="4" t="s">
        <v>235</v>
      </c>
    </row>
    <row r="22" spans="1:4" x14ac:dyDescent="0.25">
      <c r="A22" s="17" t="s">
        <v>814</v>
      </c>
    </row>
    <row r="23" spans="1:4" x14ac:dyDescent="0.25">
      <c r="A23" s="17" t="s">
        <v>795</v>
      </c>
    </row>
  </sheetData>
  <phoneticPr fontId="0" type="noConversion"/>
  <printOptions horizontalCentered="1"/>
  <pageMargins left="0.75" right="0.75" top="1" bottom="1" header="0.5" footer="0.5"/>
  <pageSetup orientation="landscape" r:id="rId1"/>
  <headerFooter alignWithMargins="0">
    <oddFooter>&amp;L&amp;F</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1">
    <pageSetUpPr fitToPage="1"/>
  </sheetPr>
  <dimension ref="A1:H22"/>
  <sheetViews>
    <sheetView zoomScale="70" workbookViewId="0"/>
  </sheetViews>
  <sheetFormatPr defaultRowHeight="12.5" x14ac:dyDescent="0.25"/>
  <cols>
    <col min="1" max="1" width="33.453125" bestFit="1" customWidth="1"/>
    <col min="2" max="2" width="11.6328125" customWidth="1"/>
    <col min="3" max="3" width="3.54296875" customWidth="1"/>
    <col min="4" max="4" width="11.6328125" customWidth="1"/>
    <col min="5" max="5" width="3.54296875" customWidth="1"/>
    <col min="6" max="6" width="11.6328125" customWidth="1"/>
    <col min="7" max="7" width="3.54296875" customWidth="1"/>
    <col min="8" max="8" width="9.6328125" customWidth="1"/>
  </cols>
  <sheetData>
    <row r="1" spans="1:8" ht="15.5" x14ac:dyDescent="0.35">
      <c r="A1" s="117" t="s">
        <v>716</v>
      </c>
    </row>
    <row r="2" spans="1:8" ht="15.5" x14ac:dyDescent="0.35">
      <c r="A2" s="117" t="s">
        <v>787</v>
      </c>
    </row>
    <row r="3" spans="1:8" ht="15.5" x14ac:dyDescent="0.35">
      <c r="A3" s="346"/>
    </row>
    <row r="4" spans="1:8" ht="13" x14ac:dyDescent="0.3">
      <c r="A4" s="5" t="s">
        <v>512</v>
      </c>
    </row>
    <row r="5" spans="1:8" ht="25" x14ac:dyDescent="0.25">
      <c r="B5" s="125" t="s">
        <v>514</v>
      </c>
      <c r="C5" s="125"/>
      <c r="D5" s="125" t="s">
        <v>515</v>
      </c>
      <c r="E5" s="125"/>
      <c r="F5" s="125" t="s">
        <v>516</v>
      </c>
      <c r="G5" s="125"/>
      <c r="H5" s="125"/>
    </row>
    <row r="6" spans="1:8" x14ac:dyDescent="0.25">
      <c r="A6" s="17" t="s">
        <v>99</v>
      </c>
      <c r="B6" s="6">
        <v>0</v>
      </c>
      <c r="C6" s="212" t="s">
        <v>236</v>
      </c>
      <c r="D6" s="6">
        <f>F6-B6</f>
        <v>1062.0566745539847</v>
      </c>
      <c r="E6" s="6"/>
      <c r="F6" s="6">
        <f>'Table 3.32-Accounting Post Due'!B4</f>
        <v>1062.0566745539847</v>
      </c>
      <c r="G6" s="212" t="s">
        <v>238</v>
      </c>
    </row>
    <row r="7" spans="1:8" x14ac:dyDescent="0.25">
      <c r="A7" s="17" t="s">
        <v>100</v>
      </c>
      <c r="B7" s="6">
        <v>0</v>
      </c>
      <c r="C7" s="212" t="s">
        <v>236</v>
      </c>
      <c r="D7" s="6">
        <f>F7-B7</f>
        <v>791.03251917893294</v>
      </c>
      <c r="E7" s="6"/>
      <c r="F7" s="6">
        <f>'Table 3.33-Delivery Post Due'!B5</f>
        <v>791.03251917893294</v>
      </c>
      <c r="G7" s="212" t="s">
        <v>239</v>
      </c>
      <c r="H7" s="161"/>
    </row>
    <row r="8" spans="1:8" x14ac:dyDescent="0.25">
      <c r="A8" s="17" t="s">
        <v>210</v>
      </c>
      <c r="B8" s="6">
        <v>0</v>
      </c>
      <c r="C8" s="212" t="s">
        <v>236</v>
      </c>
      <c r="D8" s="6">
        <f>F8-B8</f>
        <v>271.02415537505181</v>
      </c>
      <c r="E8" s="6"/>
      <c r="F8" s="6">
        <f>SUM('Table 3.34-Window Post Due'!B4:B5)</f>
        <v>271.02415537505181</v>
      </c>
      <c r="G8" s="212" t="s">
        <v>240</v>
      </c>
      <c r="H8" s="161"/>
    </row>
    <row r="11" spans="1:8" ht="13" x14ac:dyDescent="0.3">
      <c r="A11" s="14" t="s">
        <v>513</v>
      </c>
    </row>
    <row r="12" spans="1:8" ht="25" x14ac:dyDescent="0.25">
      <c r="B12" s="125" t="s">
        <v>514</v>
      </c>
      <c r="C12" s="125"/>
      <c r="D12" s="125" t="s">
        <v>515</v>
      </c>
      <c r="E12" s="125"/>
      <c r="F12" s="125" t="s">
        <v>516</v>
      </c>
      <c r="G12" s="125"/>
      <c r="H12" s="125"/>
    </row>
    <row r="13" spans="1:8" x14ac:dyDescent="0.25">
      <c r="B13" s="13" t="s">
        <v>511</v>
      </c>
      <c r="C13" s="13"/>
      <c r="D13" s="13" t="s">
        <v>511</v>
      </c>
      <c r="E13" s="13"/>
      <c r="F13" s="13" t="s">
        <v>511</v>
      </c>
      <c r="G13" s="13"/>
      <c r="H13" s="13"/>
    </row>
    <row r="14" spans="1:8" x14ac:dyDescent="0.25">
      <c r="A14" s="17" t="s">
        <v>99</v>
      </c>
      <c r="B14" s="6">
        <v>1435.4002011616583</v>
      </c>
      <c r="C14" s="212" t="s">
        <v>236</v>
      </c>
      <c r="D14" s="6">
        <f>F14-B14</f>
        <v>8320.6888729497296</v>
      </c>
      <c r="E14" s="6"/>
      <c r="F14" s="6">
        <f>'Table 3.32-Accounting Post Due'!B10</f>
        <v>9756.0890741113872</v>
      </c>
      <c r="G14" s="212" t="s">
        <v>238</v>
      </c>
    </row>
    <row r="15" spans="1:8" x14ac:dyDescent="0.25">
      <c r="A15" s="17" t="s">
        <v>100</v>
      </c>
      <c r="B15" s="6">
        <v>1187.7069774454876</v>
      </c>
      <c r="C15" s="212" t="s">
        <v>236</v>
      </c>
      <c r="D15" s="6">
        <f>F15-B15</f>
        <v>5739.2978848355406</v>
      </c>
      <c r="E15" s="6"/>
      <c r="F15" s="6">
        <f>'Table 3.33-Delivery Post Due'!B14</f>
        <v>6927.0048622810282</v>
      </c>
      <c r="G15" s="212" t="s">
        <v>239</v>
      </c>
      <c r="H15" s="161"/>
    </row>
    <row r="16" spans="1:8" x14ac:dyDescent="0.25">
      <c r="A16" s="17" t="s">
        <v>210</v>
      </c>
      <c r="B16" s="6">
        <v>136.60229946516074</v>
      </c>
      <c r="C16" s="212" t="s">
        <v>236</v>
      </c>
      <c r="D16" s="6">
        <f>F16-B16</f>
        <v>1148.6979401295998</v>
      </c>
      <c r="E16" s="6"/>
      <c r="F16" s="6">
        <f>SUM('Table 3.34-Window Post Due'!B10:B11)</f>
        <v>1285.3002395947606</v>
      </c>
      <c r="G16" s="212" t="s">
        <v>240</v>
      </c>
      <c r="H16" s="161"/>
    </row>
    <row r="17" spans="1:4" x14ac:dyDescent="0.25">
      <c r="A17" s="103"/>
      <c r="B17" s="218"/>
      <c r="C17" s="210"/>
      <c r="D17" s="217"/>
    </row>
    <row r="18" spans="1:4" x14ac:dyDescent="0.25">
      <c r="A18" s="4" t="s">
        <v>235</v>
      </c>
      <c r="B18" s="37"/>
      <c r="C18" s="47"/>
      <c r="D18" s="48"/>
    </row>
    <row r="19" spans="1:4" x14ac:dyDescent="0.25">
      <c r="A19" s="17" t="s">
        <v>815</v>
      </c>
      <c r="B19" s="37"/>
      <c r="C19" s="47"/>
      <c r="D19" s="48"/>
    </row>
    <row r="20" spans="1:4" x14ac:dyDescent="0.25">
      <c r="A20" s="17" t="s">
        <v>701</v>
      </c>
      <c r="B20" s="37"/>
      <c r="C20" s="47"/>
      <c r="D20" s="48"/>
    </row>
    <row r="21" spans="1:4" x14ac:dyDescent="0.25">
      <c r="A21" s="17" t="s">
        <v>702</v>
      </c>
    </row>
    <row r="22" spans="1:4" x14ac:dyDescent="0.25">
      <c r="A22" s="17" t="s">
        <v>703</v>
      </c>
    </row>
  </sheetData>
  <phoneticPr fontId="5" type="noConversion"/>
  <printOptions horizontalCentered="1"/>
  <pageMargins left="0.75" right="0.75" top="1" bottom="1" header="0.5" footer="0.5"/>
  <pageSetup orientation="landscape" r:id="rId1"/>
  <headerFooter alignWithMargins="0">
    <oddFooter>&amp;L&amp;F</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9">
    <pageSetUpPr fitToPage="1"/>
  </sheetPr>
  <dimension ref="A1:J24"/>
  <sheetViews>
    <sheetView zoomScale="70" workbookViewId="0"/>
  </sheetViews>
  <sheetFormatPr defaultColWidth="9.08984375" defaultRowHeight="12.5" x14ac:dyDescent="0.25"/>
  <cols>
    <col min="1" max="1" width="39.453125" bestFit="1" customWidth="1"/>
    <col min="2" max="2" width="8.08984375" customWidth="1"/>
    <col min="3" max="3" width="2.6328125" customWidth="1"/>
    <col min="4" max="4" width="8.6328125" customWidth="1"/>
    <col min="5" max="5" width="2.6328125" customWidth="1"/>
    <col min="6" max="6" width="11.6328125" customWidth="1"/>
    <col min="7" max="7" width="2.6328125" customWidth="1"/>
    <col min="8" max="8" width="11.6328125" customWidth="1"/>
    <col min="9" max="9" width="2.6328125" customWidth="1"/>
    <col min="10" max="10" width="11.6328125" customWidth="1"/>
  </cols>
  <sheetData>
    <row r="1" spans="1:10" ht="15.5" x14ac:dyDescent="0.35">
      <c r="A1" s="117" t="s">
        <v>717</v>
      </c>
    </row>
    <row r="2" spans="1:10" ht="15.5" x14ac:dyDescent="0.35">
      <c r="A2" s="117" t="s">
        <v>787</v>
      </c>
    </row>
    <row r="3" spans="1:10" ht="5.15" customHeight="1" x14ac:dyDescent="0.35">
      <c r="A3" s="346"/>
    </row>
    <row r="4" spans="1:10" ht="13" x14ac:dyDescent="0.3">
      <c r="A4" s="97" t="s">
        <v>190</v>
      </c>
      <c r="B4" s="151">
        <v>664.20803218916615</v>
      </c>
      <c r="C4" s="151"/>
    </row>
    <row r="5" spans="1:10" ht="25.5" x14ac:dyDescent="0.3">
      <c r="A5" s="16" t="s">
        <v>254</v>
      </c>
      <c r="B5" s="152" t="s">
        <v>189</v>
      </c>
      <c r="C5" s="152"/>
      <c r="D5" s="152" t="s">
        <v>164</v>
      </c>
      <c r="E5" s="152"/>
      <c r="F5" s="135" t="s">
        <v>179</v>
      </c>
      <c r="G5" s="152"/>
      <c r="H5" s="152" t="s">
        <v>251</v>
      </c>
      <c r="I5" s="13"/>
      <c r="J5" s="152" t="s">
        <v>183</v>
      </c>
    </row>
    <row r="6" spans="1:10" x14ac:dyDescent="0.25">
      <c r="A6" s="22" t="s">
        <v>180</v>
      </c>
      <c r="B6" s="75">
        <v>30</v>
      </c>
      <c r="C6" s="212" t="s">
        <v>238</v>
      </c>
      <c r="D6" s="83">
        <v>47.511997088169096</v>
      </c>
      <c r="E6" s="212" t="s">
        <v>238</v>
      </c>
      <c r="F6" s="88">
        <f>($B$4/B6*D6)/$B$4</f>
        <v>1.5837332362723031</v>
      </c>
      <c r="G6" s="83"/>
      <c r="H6" s="153">
        <v>1.3146614554631439</v>
      </c>
      <c r="I6" s="13"/>
      <c r="J6" s="88">
        <f>H6*F6</f>
        <v>2.0820730414631012</v>
      </c>
    </row>
    <row r="7" spans="1:10" x14ac:dyDescent="0.25">
      <c r="A7" s="22" t="s">
        <v>181</v>
      </c>
      <c r="B7" s="75">
        <v>114.19779465085449</v>
      </c>
      <c r="C7" s="212" t="s">
        <v>238</v>
      </c>
      <c r="D7" s="83">
        <v>48.197000000000003</v>
      </c>
      <c r="E7" s="212" t="s">
        <v>238</v>
      </c>
      <c r="F7" s="88">
        <f>($B$4/B7*D7)/$B$4</f>
        <v>0.42204843050915569</v>
      </c>
      <c r="G7" s="83"/>
      <c r="H7" s="154">
        <v>4.0261455179964143</v>
      </c>
      <c r="I7" s="13"/>
      <c r="J7" s="88">
        <f>H7*F7</f>
        <v>1.6992283968718582</v>
      </c>
    </row>
    <row r="8" spans="1:10" x14ac:dyDescent="0.25">
      <c r="A8" s="22"/>
      <c r="B8" s="13"/>
      <c r="C8" s="13"/>
      <c r="D8" s="13"/>
      <c r="E8" s="13"/>
      <c r="F8" s="88"/>
      <c r="G8" s="108"/>
      <c r="H8" s="13"/>
      <c r="I8" s="13"/>
      <c r="J8" s="88"/>
    </row>
    <row r="9" spans="1:10" ht="13" x14ac:dyDescent="0.3">
      <c r="A9" s="14" t="s">
        <v>255</v>
      </c>
      <c r="B9" s="13"/>
      <c r="C9" s="13"/>
      <c r="D9" s="83" t="s">
        <v>106</v>
      </c>
      <c r="E9" s="83"/>
      <c r="F9" s="88">
        <v>4.6010935578499237E-2</v>
      </c>
      <c r="G9" s="219" t="s">
        <v>239</v>
      </c>
      <c r="H9" s="147">
        <v>1.7351466784479892</v>
      </c>
      <c r="I9" s="13"/>
      <c r="J9" s="88">
        <f>H9*F9</f>
        <v>7.9835722041317364E-2</v>
      </c>
    </row>
    <row r="10" spans="1:10" x14ac:dyDescent="0.25">
      <c r="A10" s="79"/>
      <c r="B10" s="13"/>
      <c r="C10" s="13"/>
      <c r="D10" s="13"/>
      <c r="E10" s="13"/>
      <c r="F10" s="88"/>
      <c r="G10" s="108"/>
      <c r="H10" s="13"/>
      <c r="I10" s="13"/>
      <c r="J10" s="88"/>
    </row>
    <row r="11" spans="1:10" ht="13" x14ac:dyDescent="0.3">
      <c r="A11" s="16" t="s">
        <v>253</v>
      </c>
      <c r="B11" s="13"/>
      <c r="C11" s="13"/>
      <c r="D11" s="83"/>
      <c r="E11" s="83"/>
      <c r="F11" s="88"/>
      <c r="G11" s="108"/>
      <c r="H11" s="13"/>
      <c r="I11" s="13"/>
      <c r="J11" s="88"/>
    </row>
    <row r="12" spans="1:10" x14ac:dyDescent="0.25">
      <c r="A12" s="22" t="s">
        <v>181</v>
      </c>
      <c r="B12" s="13"/>
      <c r="C12" s="13"/>
      <c r="D12" s="13"/>
      <c r="E12" s="13"/>
      <c r="F12" s="88"/>
      <c r="G12" s="83"/>
      <c r="H12" s="13"/>
      <c r="I12" s="13"/>
      <c r="J12" s="88"/>
    </row>
    <row r="13" spans="1:10" x14ac:dyDescent="0.25">
      <c r="A13" s="82" t="s">
        <v>153</v>
      </c>
      <c r="B13" s="75">
        <v>114.19779465085449</v>
      </c>
      <c r="C13" s="212" t="s">
        <v>238</v>
      </c>
      <c r="D13" s="83">
        <v>48.197000000000003</v>
      </c>
      <c r="E13" s="212" t="s">
        <v>238</v>
      </c>
      <c r="F13" s="88">
        <f>($B$4/B13*D13)/$B$4</f>
        <v>0.42204843050915569</v>
      </c>
      <c r="G13" s="83"/>
      <c r="H13" s="154">
        <v>4.0261455179964143</v>
      </c>
      <c r="I13" s="13"/>
      <c r="J13" s="88" t="s">
        <v>247</v>
      </c>
    </row>
    <row r="14" spans="1:10" x14ac:dyDescent="0.25">
      <c r="A14" s="82" t="s">
        <v>152</v>
      </c>
      <c r="B14" s="75">
        <v>167.55812153748252</v>
      </c>
      <c r="C14" s="212" t="s">
        <v>238</v>
      </c>
      <c r="D14" s="83">
        <v>48.197000000000003</v>
      </c>
      <c r="E14" s="212" t="s">
        <v>238</v>
      </c>
      <c r="F14" s="88">
        <f>($B$4/B14*D14)/$B$4</f>
        <v>0.28764347294988263</v>
      </c>
      <c r="G14" s="83"/>
      <c r="H14" s="154">
        <v>4.0261455179964143</v>
      </c>
      <c r="I14" s="13"/>
      <c r="J14" s="88">
        <f>H14*F14</f>
        <v>1.1580944793980927</v>
      </c>
    </row>
    <row r="15" spans="1:10" x14ac:dyDescent="0.25">
      <c r="A15" s="22" t="s">
        <v>182</v>
      </c>
      <c r="B15" s="75">
        <v>504.83575730706781</v>
      </c>
      <c r="C15" s="212" t="s">
        <v>238</v>
      </c>
      <c r="D15" s="83">
        <v>48.197000000000003</v>
      </c>
      <c r="E15" s="212" t="s">
        <v>238</v>
      </c>
      <c r="F15" s="88">
        <v>9.5470654172945271E-2</v>
      </c>
      <c r="G15" s="83"/>
      <c r="H15" s="154">
        <v>4.0261455179964143</v>
      </c>
      <c r="I15" s="13"/>
      <c r="J15" s="88">
        <f>H15*F15</f>
        <v>0.38437874639858927</v>
      </c>
    </row>
    <row r="16" spans="1:10" x14ac:dyDescent="0.25">
      <c r="B16" s="108"/>
      <c r="C16" s="108"/>
      <c r="D16" s="83"/>
      <c r="E16" s="83"/>
      <c r="F16" s="88"/>
      <c r="G16" s="13"/>
      <c r="H16" s="13"/>
      <c r="I16" s="13"/>
      <c r="J16" s="88"/>
    </row>
    <row r="17" spans="1:10" ht="13" x14ac:dyDescent="0.3">
      <c r="A17" s="14" t="s">
        <v>102</v>
      </c>
      <c r="B17" s="13"/>
      <c r="C17" s="13"/>
      <c r="D17" s="13"/>
      <c r="E17" s="13"/>
      <c r="F17" s="88">
        <f>SUM(F6:F15)</f>
        <v>2.8569551599919416</v>
      </c>
      <c r="G17" s="83"/>
      <c r="H17" s="13"/>
      <c r="I17" s="13"/>
      <c r="J17" s="88">
        <f>SUM(J6:J15)</f>
        <v>5.403610386172959</v>
      </c>
    </row>
    <row r="18" spans="1:10" hidden="1" x14ac:dyDescent="0.25">
      <c r="B18" s="13"/>
      <c r="C18" s="13"/>
      <c r="D18" s="13"/>
      <c r="E18" s="13"/>
      <c r="F18" s="13"/>
      <c r="G18" s="13"/>
      <c r="H18" s="13"/>
      <c r="I18" s="13"/>
      <c r="J18" s="13"/>
    </row>
    <row r="19" spans="1:10" hidden="1" x14ac:dyDescent="0.25">
      <c r="B19" s="89"/>
      <c r="C19" s="89"/>
      <c r="D19" s="90" t="s">
        <v>188</v>
      </c>
      <c r="E19" s="90"/>
      <c r="F19" s="91">
        <v>0</v>
      </c>
      <c r="G19" s="81"/>
    </row>
    <row r="20" spans="1:10" x14ac:dyDescent="0.25">
      <c r="A20" s="204"/>
      <c r="B20" s="204"/>
      <c r="C20" s="204"/>
      <c r="D20" s="204"/>
      <c r="E20" s="204"/>
    </row>
    <row r="21" spans="1:10" x14ac:dyDescent="0.25">
      <c r="A21" t="s">
        <v>235</v>
      </c>
    </row>
    <row r="22" spans="1:10" x14ac:dyDescent="0.25">
      <c r="A22" s="17" t="s">
        <v>788</v>
      </c>
    </row>
    <row r="23" spans="1:10" x14ac:dyDescent="0.25">
      <c r="A23" s="17" t="s">
        <v>816</v>
      </c>
    </row>
    <row r="24" spans="1:10" x14ac:dyDescent="0.25">
      <c r="A24" s="17" t="s">
        <v>704</v>
      </c>
    </row>
  </sheetData>
  <phoneticPr fontId="5" type="noConversion"/>
  <printOptions horizontalCentered="1"/>
  <pageMargins left="0.75" right="0.75" top="1" bottom="1" header="0.5" footer="0.5"/>
  <pageSetup orientation="landscape" r:id="rId1"/>
  <headerFooter alignWithMargins="0">
    <oddFooter>&amp;L&amp;F</oddFoot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3">
    <pageSetUpPr fitToPage="1"/>
  </sheetPr>
  <dimension ref="A1:D38"/>
  <sheetViews>
    <sheetView zoomScale="70" workbookViewId="0"/>
  </sheetViews>
  <sheetFormatPr defaultRowHeight="12.5" x14ac:dyDescent="0.25"/>
  <cols>
    <col min="1" max="1" width="45.36328125" bestFit="1" customWidth="1"/>
    <col min="2" max="2" width="15.90625" customWidth="1"/>
    <col min="3" max="3" width="3.36328125" customWidth="1"/>
  </cols>
  <sheetData>
    <row r="1" spans="1:3" ht="15.5" x14ac:dyDescent="0.35">
      <c r="A1" s="117" t="s">
        <v>718</v>
      </c>
      <c r="B1" s="15"/>
    </row>
    <row r="2" spans="1:3" ht="15.5" x14ac:dyDescent="0.35">
      <c r="A2" s="117" t="s">
        <v>787</v>
      </c>
      <c r="B2" s="15"/>
    </row>
    <row r="3" spans="1:3" ht="5.15" customHeight="1" x14ac:dyDescent="0.3">
      <c r="A3" s="5"/>
    </row>
    <row r="4" spans="1:3" x14ac:dyDescent="0.25">
      <c r="A4" t="s">
        <v>111</v>
      </c>
      <c r="B4" s="21">
        <v>1.0360078863380962</v>
      </c>
      <c r="C4" s="17" t="s">
        <v>236</v>
      </c>
    </row>
    <row r="5" spans="1:3" x14ac:dyDescent="0.25">
      <c r="A5" t="s">
        <v>112</v>
      </c>
      <c r="B5" s="21">
        <v>8.3373400462591523</v>
      </c>
      <c r="C5" s="17" t="s">
        <v>238</v>
      </c>
    </row>
    <row r="6" spans="1:3" x14ac:dyDescent="0.25">
      <c r="B6" s="13"/>
    </row>
    <row r="7" spans="1:3" x14ac:dyDescent="0.25">
      <c r="A7" s="12" t="s">
        <v>666</v>
      </c>
      <c r="B7" s="83">
        <f>'Table 3.40-Form Processing'!J4</f>
        <v>0.13060349128269019</v>
      </c>
      <c r="C7" s="11" t="s">
        <v>239</v>
      </c>
    </row>
    <row r="8" spans="1:3" x14ac:dyDescent="0.25">
      <c r="A8" s="11" t="s">
        <v>667</v>
      </c>
      <c r="B8" s="83">
        <f>'Table 3.40-Form Processing'!J6</f>
        <v>4.995133315735447E-2</v>
      </c>
      <c r="C8" s="11" t="s">
        <v>239</v>
      </c>
    </row>
    <row r="10" spans="1:3" x14ac:dyDescent="0.25">
      <c r="A10" t="s">
        <v>113</v>
      </c>
      <c r="B10" s="23"/>
    </row>
    <row r="11" spans="1:3" x14ac:dyDescent="0.25">
      <c r="A11" s="22" t="s">
        <v>260</v>
      </c>
      <c r="B11" s="86">
        <f>'Table 3.38-Form 3547 Dist'!I25</f>
        <v>0.21613100464768834</v>
      </c>
      <c r="C11" s="11" t="s">
        <v>240</v>
      </c>
    </row>
    <row r="12" spans="1:3" x14ac:dyDescent="0.25">
      <c r="A12" s="79" t="s">
        <v>120</v>
      </c>
      <c r="B12" s="86">
        <f>'Table 3.38-Form 3547 Dist'!I26</f>
        <v>0.68769396503390701</v>
      </c>
      <c r="C12" s="11" t="s">
        <v>240</v>
      </c>
    </row>
    <row r="13" spans="1:3" x14ac:dyDescent="0.25">
      <c r="A13" s="22" t="s">
        <v>259</v>
      </c>
      <c r="B13" s="86">
        <f>'Table 3.38-Form 3547 Dist'!I27</f>
        <v>9.6175030318404617E-2</v>
      </c>
      <c r="C13" s="11" t="s">
        <v>240</v>
      </c>
    </row>
    <row r="15" spans="1:3" x14ac:dyDescent="0.25">
      <c r="A15" s="11" t="s">
        <v>739</v>
      </c>
      <c r="B15" s="6">
        <f>'Table 3.38-Form 3547 Dist'!B28*1000</f>
        <v>42239991.681981921</v>
      </c>
      <c r="C15" s="11" t="s">
        <v>241</v>
      </c>
    </row>
    <row r="16" spans="1:3" x14ac:dyDescent="0.25">
      <c r="A16" s="11" t="s">
        <v>740</v>
      </c>
      <c r="B16" s="10">
        <f>'Table 3.38-Form 3547 Dist'!E28*1000</f>
        <v>3262015.0793321063</v>
      </c>
      <c r="C16" s="11" t="s">
        <v>242</v>
      </c>
    </row>
    <row r="17" spans="1:4" x14ac:dyDescent="0.25">
      <c r="A17" s="12" t="s">
        <v>115</v>
      </c>
      <c r="B17" s="6">
        <f>SUM(B15:B16)</f>
        <v>45502006.761314027</v>
      </c>
      <c r="C17" s="11"/>
    </row>
    <row r="18" spans="1:4" x14ac:dyDescent="0.25">
      <c r="B18" s="6"/>
      <c r="C18" s="11"/>
    </row>
    <row r="19" spans="1:4" x14ac:dyDescent="0.25">
      <c r="A19" s="11" t="s">
        <v>741</v>
      </c>
      <c r="B19" s="6">
        <v>5281237.4215381481</v>
      </c>
      <c r="C19" s="11" t="s">
        <v>241</v>
      </c>
      <c r="D19" s="11"/>
    </row>
    <row r="20" spans="1:4" x14ac:dyDescent="0.25">
      <c r="A20" s="11" t="s">
        <v>742</v>
      </c>
      <c r="B20" s="10">
        <v>4109453.8486211887</v>
      </c>
      <c r="C20" s="11" t="s">
        <v>242</v>
      </c>
    </row>
    <row r="21" spans="1:4" x14ac:dyDescent="0.25">
      <c r="A21" s="11" t="s">
        <v>116</v>
      </c>
      <c r="B21" s="6">
        <f>SUM(B19:B20)</f>
        <v>9390691.2701593377</v>
      </c>
      <c r="C21" s="11"/>
    </row>
    <row r="22" spans="1:4" x14ac:dyDescent="0.25">
      <c r="B22" s="6"/>
      <c r="C22" s="11"/>
    </row>
    <row r="23" spans="1:4" x14ac:dyDescent="0.25">
      <c r="A23" t="s">
        <v>261</v>
      </c>
      <c r="B23" s="24">
        <f>SUM(B17,B21)</f>
        <v>54892698.031473368</v>
      </c>
    </row>
    <row r="24" spans="1:4" x14ac:dyDescent="0.25">
      <c r="B24" s="6"/>
    </row>
    <row r="25" spans="1:4" x14ac:dyDescent="0.25">
      <c r="A25" s="11" t="s">
        <v>51</v>
      </c>
      <c r="B25" s="6">
        <f>'Table 3.1-UAA Summary'!L51*1000</f>
        <v>436738518.27696496</v>
      </c>
      <c r="C25" s="11"/>
    </row>
    <row r="26" spans="1:4" x14ac:dyDescent="0.25">
      <c r="A26" s="11" t="s">
        <v>52</v>
      </c>
      <c r="B26" s="6">
        <f>'Table 3.1-UAA Summary'!L50*1000</f>
        <v>237715921.57901165</v>
      </c>
      <c r="C26" s="11"/>
    </row>
    <row r="28" spans="1:4" x14ac:dyDescent="0.25">
      <c r="A28" s="11" t="s">
        <v>350</v>
      </c>
      <c r="B28" s="25">
        <v>48.197000000000003</v>
      </c>
      <c r="C28" s="11" t="s">
        <v>243</v>
      </c>
    </row>
    <row r="29" spans="1:4" x14ac:dyDescent="0.25">
      <c r="A29" s="204"/>
      <c r="B29" s="204"/>
    </row>
    <row r="30" spans="1:4" x14ac:dyDescent="0.25">
      <c r="A30" t="s">
        <v>235</v>
      </c>
    </row>
    <row r="31" spans="1:4" x14ac:dyDescent="0.25">
      <c r="A31" s="17" t="s">
        <v>818</v>
      </c>
    </row>
    <row r="32" spans="1:4" x14ac:dyDescent="0.25">
      <c r="A32" s="17" t="s">
        <v>13</v>
      </c>
    </row>
    <row r="33" spans="1:1" x14ac:dyDescent="0.25">
      <c r="A33" s="11" t="s">
        <v>698</v>
      </c>
    </row>
    <row r="34" spans="1:1" x14ac:dyDescent="0.25">
      <c r="A34" s="11" t="s">
        <v>705</v>
      </c>
    </row>
    <row r="35" spans="1:1" x14ac:dyDescent="0.25">
      <c r="A35" s="17" t="s">
        <v>819</v>
      </c>
    </row>
    <row r="36" spans="1:1" x14ac:dyDescent="0.25">
      <c r="A36" s="17" t="s">
        <v>820</v>
      </c>
    </row>
    <row r="37" spans="1:1" x14ac:dyDescent="0.25">
      <c r="A37" s="17" t="s">
        <v>817</v>
      </c>
    </row>
    <row r="38" spans="1:1" x14ac:dyDescent="0.25">
      <c r="A38" s="11" t="s">
        <v>53</v>
      </c>
    </row>
  </sheetData>
  <phoneticPr fontId="0" type="noConversion"/>
  <printOptions horizontalCentered="1"/>
  <pageMargins left="0.75" right="0.75" top="1" bottom="1" header="0.5" footer="0.5"/>
  <pageSetup scale="99" orientation="landscape" r:id="rId1"/>
  <headerFooter alignWithMargins="0">
    <oddFooter>&amp;L&amp;F</oddFooter>
  </headerFooter>
  <legacy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2">
    <pageSetUpPr fitToPage="1"/>
  </sheetPr>
  <dimension ref="A1:I164"/>
  <sheetViews>
    <sheetView zoomScale="70" workbookViewId="0"/>
  </sheetViews>
  <sheetFormatPr defaultColWidth="9.08984375" defaultRowHeight="12.5" x14ac:dyDescent="0.25"/>
  <cols>
    <col min="1" max="1" width="19.6328125" bestFit="1" customWidth="1"/>
    <col min="2" max="2" width="15.6328125" customWidth="1"/>
    <col min="3" max="3" width="13.08984375" customWidth="1"/>
    <col min="4" max="4" width="3.6328125" customWidth="1"/>
    <col min="5" max="5" width="15.6328125" customWidth="1"/>
    <col min="6" max="6" width="14.90625" customWidth="1"/>
    <col min="7" max="7" width="3.6328125" customWidth="1"/>
    <col min="8" max="8" width="15.6328125" customWidth="1"/>
    <col min="9" max="9" width="14.90625" customWidth="1"/>
  </cols>
  <sheetData>
    <row r="1" spans="1:9" ht="15.75" customHeight="1" x14ac:dyDescent="0.35">
      <c r="A1" s="117" t="s">
        <v>723</v>
      </c>
    </row>
    <row r="2" spans="1:9" ht="15.75" customHeight="1" x14ac:dyDescent="0.35">
      <c r="A2" s="117" t="s">
        <v>787</v>
      </c>
    </row>
    <row r="3" spans="1:9" ht="12.75" customHeight="1" x14ac:dyDescent="0.25"/>
    <row r="4" spans="1:9" ht="12.75" customHeight="1" x14ac:dyDescent="0.25">
      <c r="B4" s="77" t="s">
        <v>724</v>
      </c>
      <c r="C4" s="77"/>
      <c r="D4" s="77"/>
      <c r="E4" s="77" t="s">
        <v>724</v>
      </c>
      <c r="F4" s="77"/>
    </row>
    <row r="5" spans="1:9" ht="12.75" customHeight="1" x14ac:dyDescent="0.25">
      <c r="B5" s="408" t="s">
        <v>725</v>
      </c>
      <c r="C5" s="77"/>
      <c r="D5" s="77"/>
      <c r="E5" s="408" t="s">
        <v>726</v>
      </c>
      <c r="F5" s="77"/>
      <c r="H5" s="409" t="s">
        <v>727</v>
      </c>
      <c r="I5" s="77"/>
    </row>
    <row r="6" spans="1:9" ht="12.75" customHeight="1" x14ac:dyDescent="0.25">
      <c r="A6" s="72" t="s">
        <v>728</v>
      </c>
      <c r="B6" s="410" t="s">
        <v>729</v>
      </c>
      <c r="C6" s="155" t="s">
        <v>172</v>
      </c>
      <c r="D6" s="155"/>
      <c r="E6" s="410" t="s">
        <v>730</v>
      </c>
      <c r="F6" s="155" t="s">
        <v>172</v>
      </c>
      <c r="H6" s="411" t="s">
        <v>103</v>
      </c>
      <c r="I6" s="155" t="s">
        <v>172</v>
      </c>
    </row>
    <row r="7" spans="1:9" ht="12.75" customHeight="1" x14ac:dyDescent="0.25">
      <c r="A7" s="22" t="s">
        <v>260</v>
      </c>
      <c r="B7" s="24">
        <v>8814.3398307259704</v>
      </c>
      <c r="C7" s="412">
        <f>B7/B$10</f>
        <v>0.24843188574672226</v>
      </c>
      <c r="D7" s="412"/>
      <c r="E7" s="24">
        <v>0</v>
      </c>
      <c r="F7" s="412">
        <f>E7/E$10</f>
        <v>0</v>
      </c>
      <c r="H7" s="6">
        <f>B7+E7</f>
        <v>8814.3398307259704</v>
      </c>
      <c r="I7" s="412">
        <f>H7/H$10</f>
        <v>0.23062193372100814</v>
      </c>
    </row>
    <row r="8" spans="1:9" ht="12.75" customHeight="1" x14ac:dyDescent="0.25">
      <c r="A8" s="79" t="s">
        <v>120</v>
      </c>
      <c r="B8" s="24">
        <v>24723.918199502772</v>
      </c>
      <c r="C8" s="412">
        <f>B8/B$10</f>
        <v>0.69684284238043637</v>
      </c>
      <c r="D8" s="412"/>
      <c r="E8" s="24">
        <v>2540.4525738808488</v>
      </c>
      <c r="F8" s="412">
        <f>E8/E$10</f>
        <v>0.92718521337588422</v>
      </c>
      <c r="H8" s="6">
        <f>B8+E8</f>
        <v>27264.37077338362</v>
      </c>
      <c r="I8" s="412">
        <f>H8/H$10</f>
        <v>0.71335596654961209</v>
      </c>
    </row>
    <row r="9" spans="1:9" ht="12.75" customHeight="1" x14ac:dyDescent="0.25">
      <c r="A9" s="22" t="s">
        <v>259</v>
      </c>
      <c r="B9" s="24">
        <v>1941.6474747845818</v>
      </c>
      <c r="C9" s="412">
        <f>B9/B$10</f>
        <v>5.4725271872841562E-2</v>
      </c>
      <c r="D9" s="412"/>
      <c r="E9" s="24">
        <v>199.50977369699208</v>
      </c>
      <c r="F9" s="412">
        <f>E9/E$10</f>
        <v>7.2814786624115876E-2</v>
      </c>
      <c r="H9" s="6">
        <f>B9+E9</f>
        <v>2141.1572484815738</v>
      </c>
      <c r="I9" s="412">
        <f>H9/H$10</f>
        <v>5.6022099729379653E-2</v>
      </c>
    </row>
    <row r="10" spans="1:9" ht="12.75" customHeight="1" x14ac:dyDescent="0.3">
      <c r="A10" s="5" t="s">
        <v>102</v>
      </c>
      <c r="B10" s="24">
        <f>SUM(B7:B9)</f>
        <v>35479.905505013317</v>
      </c>
      <c r="C10" s="248">
        <f>SUM(C7:C9)</f>
        <v>1.0000000000000002</v>
      </c>
      <c r="D10" s="248"/>
      <c r="E10" s="24">
        <f>SUM(E7:E9)</f>
        <v>2739.9623475778408</v>
      </c>
      <c r="F10" s="248">
        <f>SUM(F7:F9)</f>
        <v>1</v>
      </c>
      <c r="H10" s="6">
        <f>SUM(H7:H9)</f>
        <v>38219.867852591167</v>
      </c>
      <c r="I10" s="248">
        <f>SUM(I7:I9)</f>
        <v>0.99999999999999989</v>
      </c>
    </row>
    <row r="11" spans="1:9" ht="12.75" customHeight="1" x14ac:dyDescent="0.25"/>
    <row r="12" spans="1:9" ht="12.75" customHeight="1" x14ac:dyDescent="0.25"/>
    <row r="13" spans="1:9" ht="12.75" customHeight="1" x14ac:dyDescent="0.25">
      <c r="B13" s="77" t="s">
        <v>731</v>
      </c>
      <c r="C13" s="77"/>
      <c r="E13" s="77" t="s">
        <v>731</v>
      </c>
      <c r="F13" s="77"/>
    </row>
    <row r="14" spans="1:9" ht="12.75" customHeight="1" x14ac:dyDescent="0.25">
      <c r="B14" s="408" t="s">
        <v>732</v>
      </c>
      <c r="C14" s="77"/>
      <c r="E14" s="408" t="s">
        <v>733</v>
      </c>
      <c r="F14" s="77"/>
      <c r="H14" s="408" t="s">
        <v>734</v>
      </c>
      <c r="I14" s="77"/>
    </row>
    <row r="15" spans="1:9" ht="12.75" customHeight="1" x14ac:dyDescent="0.25">
      <c r="A15" s="72" t="s">
        <v>728</v>
      </c>
      <c r="B15" s="410" t="s">
        <v>729</v>
      </c>
      <c r="C15" s="155" t="s">
        <v>172</v>
      </c>
      <c r="E15" s="410" t="s">
        <v>730</v>
      </c>
      <c r="F15" s="155" t="s">
        <v>172</v>
      </c>
      <c r="H15" s="411" t="s">
        <v>103</v>
      </c>
      <c r="I15" s="155" t="s">
        <v>172</v>
      </c>
    </row>
    <row r="16" spans="1:9" ht="12.75" customHeight="1" x14ac:dyDescent="0.25">
      <c r="A16" s="22" t="s">
        <v>260</v>
      </c>
      <c r="B16" s="24">
        <v>1020.0546040827384</v>
      </c>
      <c r="C16" s="412">
        <f>B16/B$19</f>
        <v>0.15089372788737998</v>
      </c>
      <c r="E16" s="24">
        <v>0</v>
      </c>
      <c r="F16" s="412">
        <f>E16/E$19</f>
        <v>0</v>
      </c>
      <c r="H16" s="6">
        <f>B16+E16</f>
        <v>1020.0546040827384</v>
      </c>
      <c r="I16" s="412">
        <f>H16/H$19</f>
        <v>0.14007623541221831</v>
      </c>
    </row>
    <row r="17" spans="1:9" ht="12.75" customHeight="1" x14ac:dyDescent="0.25">
      <c r="A17" s="79" t="s">
        <v>120</v>
      </c>
      <c r="B17" s="24">
        <v>3691.3577088576944</v>
      </c>
      <c r="C17" s="412">
        <f>B17/B$19</f>
        <v>0.54605187156253043</v>
      </c>
      <c r="E17" s="24">
        <v>335.72696444637563</v>
      </c>
      <c r="F17" s="412">
        <f>E17/E$19</f>
        <v>0.64309014018224753</v>
      </c>
      <c r="H17" s="6">
        <f>B17+E17</f>
        <v>4027.0846733040698</v>
      </c>
      <c r="I17" s="412">
        <f>H17/H$19</f>
        <v>0.55300849431480248</v>
      </c>
    </row>
    <row r="18" spans="1:9" ht="12.75" customHeight="1" x14ac:dyDescent="0.25">
      <c r="A18" s="22" t="s">
        <v>259</v>
      </c>
      <c r="B18" s="24">
        <v>2048.6738640281656</v>
      </c>
      <c r="C18" s="412">
        <f>B18/B$19</f>
        <v>0.30305440055008964</v>
      </c>
      <c r="E18" s="24">
        <v>186.32576730788949</v>
      </c>
      <c r="F18" s="412">
        <f>E18/E$19</f>
        <v>0.35690985981775247</v>
      </c>
      <c r="H18" s="6">
        <f>B18+E18</f>
        <v>2234.9996313360552</v>
      </c>
      <c r="I18" s="412">
        <f>H18/H$19</f>
        <v>0.30691527027297916</v>
      </c>
    </row>
    <row r="19" spans="1:9" ht="12.75" customHeight="1" x14ac:dyDescent="0.3">
      <c r="A19" s="5" t="s">
        <v>102</v>
      </c>
      <c r="B19" s="24">
        <f>SUM(B16:B18)</f>
        <v>6760.086176968598</v>
      </c>
      <c r="C19" s="248">
        <f>SUM(C16:C18)</f>
        <v>1</v>
      </c>
      <c r="E19" s="24">
        <f>SUM(E16:E18)</f>
        <v>522.0527317542651</v>
      </c>
      <c r="F19" s="248">
        <f>SUM(F16:F18)</f>
        <v>1</v>
      </c>
      <c r="H19" s="6">
        <f>SUM(H16:H18)</f>
        <v>7282.1389087228636</v>
      </c>
      <c r="I19" s="248">
        <f>SUM(I16:I18)</f>
        <v>1</v>
      </c>
    </row>
    <row r="20" spans="1:9" ht="12.75" customHeight="1" x14ac:dyDescent="0.3">
      <c r="A20" s="5"/>
      <c r="B20" s="24"/>
      <c r="C20" s="248"/>
      <c r="E20" s="24"/>
      <c r="F20" s="248"/>
      <c r="H20" s="6"/>
      <c r="I20" s="248"/>
    </row>
    <row r="21" spans="1:9" ht="12.75" customHeight="1" x14ac:dyDescent="0.3">
      <c r="A21" s="5"/>
      <c r="B21" s="24"/>
      <c r="C21" s="248"/>
      <c r="E21" s="24"/>
      <c r="F21" s="248"/>
      <c r="H21" s="6"/>
      <c r="I21" s="248"/>
    </row>
    <row r="22" spans="1:9" ht="12.75" customHeight="1" x14ac:dyDescent="0.25">
      <c r="B22" s="77" t="s">
        <v>735</v>
      </c>
      <c r="C22" s="77"/>
      <c r="E22" s="77" t="s">
        <v>735</v>
      </c>
      <c r="F22" s="77"/>
    </row>
    <row r="23" spans="1:9" ht="12.75" customHeight="1" x14ac:dyDescent="0.25">
      <c r="B23" s="408" t="s">
        <v>732</v>
      </c>
      <c r="C23" s="77"/>
      <c r="E23" s="408" t="s">
        <v>733</v>
      </c>
      <c r="F23" s="77"/>
      <c r="H23" s="408" t="s">
        <v>736</v>
      </c>
      <c r="I23" s="77"/>
    </row>
    <row r="24" spans="1:9" ht="12.75" customHeight="1" x14ac:dyDescent="0.25">
      <c r="A24" s="72" t="s">
        <v>728</v>
      </c>
      <c r="B24" s="410" t="s">
        <v>729</v>
      </c>
      <c r="C24" s="155" t="s">
        <v>172</v>
      </c>
      <c r="E24" s="410" t="s">
        <v>730</v>
      </c>
      <c r="F24" s="155" t="s">
        <v>172</v>
      </c>
      <c r="H24" s="411" t="s">
        <v>103</v>
      </c>
      <c r="I24" s="155" t="s">
        <v>172</v>
      </c>
    </row>
    <row r="25" spans="1:9" ht="12.75" customHeight="1" x14ac:dyDescent="0.25">
      <c r="A25" s="22" t="s">
        <v>260</v>
      </c>
      <c r="B25" s="24">
        <f>SUM(B7,B16)</f>
        <v>9834.394434808708</v>
      </c>
      <c r="C25" s="412">
        <f>B25/B$28</f>
        <v>0.2328218837932137</v>
      </c>
      <c r="E25" s="24">
        <f>SUM(E7,E16)</f>
        <v>0</v>
      </c>
      <c r="F25" s="412">
        <f>E25/E$28</f>
        <v>0</v>
      </c>
      <c r="H25" s="6">
        <f>B25+E25</f>
        <v>9834.394434808708</v>
      </c>
      <c r="I25" s="412">
        <f>H25/H$28</f>
        <v>0.21613100464768834</v>
      </c>
    </row>
    <row r="26" spans="1:9" ht="12.75" customHeight="1" x14ac:dyDescent="0.25">
      <c r="A26" s="79" t="s">
        <v>120</v>
      </c>
      <c r="B26" s="24">
        <f>SUM(B8,B17)</f>
        <v>28415.275908360465</v>
      </c>
      <c r="C26" s="412">
        <f>B26/B$28</f>
        <v>0.67271026287823377</v>
      </c>
      <c r="E26" s="24">
        <f>SUM(E8,E17)</f>
        <v>2876.1795383272247</v>
      </c>
      <c r="F26" s="412">
        <f>E26/E$28</f>
        <v>0.88171865193097732</v>
      </c>
      <c r="H26" s="6">
        <f>B26+E26</f>
        <v>31291.455446687691</v>
      </c>
      <c r="I26" s="412">
        <f>H26/H$28</f>
        <v>0.68769396503390701</v>
      </c>
    </row>
    <row r="27" spans="1:9" ht="12.75" customHeight="1" x14ac:dyDescent="0.25">
      <c r="A27" s="22" t="s">
        <v>259</v>
      </c>
      <c r="B27" s="24">
        <f>SUM(B9,B18)</f>
        <v>3990.3213388127474</v>
      </c>
      <c r="C27" s="412">
        <f>B27/B$28</f>
        <v>9.4467853328552551E-2</v>
      </c>
      <c r="E27" s="24">
        <f>SUM(E9,E18)</f>
        <v>385.83554100488158</v>
      </c>
      <c r="F27" s="412">
        <f>E27/E$28</f>
        <v>0.1182813480690227</v>
      </c>
      <c r="H27" s="6">
        <f>B27+E27</f>
        <v>4376.1568798176286</v>
      </c>
      <c r="I27" s="412">
        <f>H27/H$28</f>
        <v>9.6175030318404617E-2</v>
      </c>
    </row>
    <row r="28" spans="1:9" ht="12.75" customHeight="1" x14ac:dyDescent="0.3">
      <c r="A28" s="5" t="s">
        <v>102</v>
      </c>
      <c r="B28" s="24">
        <f>SUM(B25:B27)</f>
        <v>42239.991681981919</v>
      </c>
      <c r="C28" s="248">
        <f>SUM(C25:C27)</f>
        <v>1</v>
      </c>
      <c r="E28" s="24">
        <f>SUM(E25:E27)</f>
        <v>3262.0150793321063</v>
      </c>
      <c r="F28" s="248">
        <f>SUM(F25:F27)</f>
        <v>1</v>
      </c>
      <c r="H28" s="6">
        <f>SUM(H25:H27)</f>
        <v>45502.006761314027</v>
      </c>
      <c r="I28" s="248">
        <f>SUM(I25:I27)</f>
        <v>0.99999999999999989</v>
      </c>
    </row>
    <row r="29" spans="1:9" ht="12.75" customHeight="1" x14ac:dyDescent="0.25">
      <c r="A29" s="103"/>
      <c r="B29" s="203"/>
    </row>
    <row r="30" spans="1:9" ht="12.75" customHeight="1" x14ac:dyDescent="0.25">
      <c r="A30" s="4" t="s">
        <v>235</v>
      </c>
      <c r="B30" s="24"/>
    </row>
    <row r="31" spans="1:9" ht="12.75" customHeight="1" x14ac:dyDescent="0.25">
      <c r="A31" s="17" t="s">
        <v>802</v>
      </c>
      <c r="B31" s="24"/>
    </row>
    <row r="32" spans="1:9" ht="12.75" customHeight="1" x14ac:dyDescent="0.25">
      <c r="A32" s="17" t="s">
        <v>821</v>
      </c>
    </row>
    <row r="33" spans="1:1" ht="12.75" customHeight="1" x14ac:dyDescent="0.25">
      <c r="A33" s="11" t="s">
        <v>737</v>
      </c>
    </row>
    <row r="34" spans="1:1" ht="12.75" customHeight="1" x14ac:dyDescent="0.25">
      <c r="A34" s="11" t="s">
        <v>738</v>
      </c>
    </row>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sheetData>
  <phoneticPr fontId="5" type="noConversion"/>
  <printOptions horizontalCentered="1"/>
  <pageMargins left="0.75" right="0.75" top="1" bottom="1" header="0.5" footer="0.5"/>
  <pageSetup orientation="landscape" r:id="rId1"/>
  <headerFooter alignWithMargins="0">
    <oddFooter>&amp;L&amp;F</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pageSetUpPr fitToPage="1"/>
  </sheetPr>
  <dimension ref="A1:K52"/>
  <sheetViews>
    <sheetView zoomScale="70" workbookViewId="0"/>
  </sheetViews>
  <sheetFormatPr defaultRowHeight="12.5" x14ac:dyDescent="0.25"/>
  <cols>
    <col min="1" max="1" width="50" customWidth="1"/>
    <col min="2" max="2" width="11.6328125" customWidth="1"/>
    <col min="3" max="3" width="3.453125" customWidth="1"/>
    <col min="4" max="4" width="11.6328125" customWidth="1"/>
    <col min="5" max="5" width="3.453125" customWidth="1"/>
    <col min="6" max="6" width="11.6328125" customWidth="1"/>
    <col min="7" max="7" width="3.453125" customWidth="1"/>
    <col min="8" max="8" width="11.6328125" customWidth="1"/>
    <col min="9" max="9" width="3.453125" customWidth="1"/>
    <col min="10" max="10" width="11.6328125" customWidth="1"/>
  </cols>
  <sheetData>
    <row r="1" spans="1:11" s="12" customFormat="1" ht="15.5" x14ac:dyDescent="0.35">
      <c r="A1" s="117" t="s">
        <v>523</v>
      </c>
      <c r="B1" s="16"/>
      <c r="C1" s="16"/>
      <c r="D1" s="16"/>
      <c r="E1" s="16"/>
      <c r="F1" s="16"/>
      <c r="G1" s="16"/>
      <c r="H1" s="16"/>
      <c r="I1" s="16"/>
      <c r="J1" s="16"/>
    </row>
    <row r="2" spans="1:11" s="12" customFormat="1" ht="15.5" x14ac:dyDescent="0.35">
      <c r="A2" s="117" t="s">
        <v>787</v>
      </c>
      <c r="B2" s="16"/>
      <c r="C2" s="16"/>
      <c r="D2" s="16"/>
      <c r="E2" s="16"/>
      <c r="F2" s="16"/>
      <c r="G2" s="16"/>
      <c r="H2" s="16"/>
      <c r="I2" s="16"/>
      <c r="J2" s="16"/>
    </row>
    <row r="3" spans="1:11" ht="25" x14ac:dyDescent="0.25">
      <c r="B3" s="125" t="s">
        <v>109</v>
      </c>
      <c r="C3" s="125"/>
      <c r="D3" s="126" t="s">
        <v>104</v>
      </c>
      <c r="E3" s="126"/>
      <c r="F3" s="125" t="s">
        <v>110</v>
      </c>
      <c r="G3" s="125"/>
      <c r="H3" s="127" t="s">
        <v>97</v>
      </c>
      <c r="I3" s="127"/>
      <c r="J3" s="128" t="s">
        <v>105</v>
      </c>
    </row>
    <row r="4" spans="1:11" ht="13" x14ac:dyDescent="0.3">
      <c r="A4" s="14" t="s">
        <v>577</v>
      </c>
    </row>
    <row r="5" spans="1:11" x14ac:dyDescent="0.25">
      <c r="A5" s="258" t="s">
        <v>481</v>
      </c>
      <c r="B5" s="6">
        <f>SUM('Table 3.24-CIOSS Detail'!E4,'Table 3.24-CIOSS Detail'!E8)</f>
        <v>465067.46024999989</v>
      </c>
      <c r="C5" s="11" t="s">
        <v>240</v>
      </c>
      <c r="D5" s="61">
        <f>F5/B5</f>
        <v>6.5718313089960748E-2</v>
      </c>
      <c r="F5" s="108">
        <f>SUM('Table 3.24-CIOSS Detail'!K4,'Table 3.24-CIOSS Detail'!K8)</f>
        <v>30563.448960662368</v>
      </c>
      <c r="G5" s="11" t="s">
        <v>240</v>
      </c>
      <c r="H5" s="99">
        <f>B5/$B$29</f>
        <v>0.94999999999999984</v>
      </c>
      <c r="J5" s="88">
        <f>D5*H5</f>
        <v>6.2432397435462701E-2</v>
      </c>
    </row>
    <row r="6" spans="1:11" x14ac:dyDescent="0.25">
      <c r="A6" s="258" t="s">
        <v>95</v>
      </c>
      <c r="B6" s="6">
        <f>SUM('Table 3.28-REC Volume'!G4,'Table 3.28-REC Volume'!G8)</f>
        <v>177846.19628801366</v>
      </c>
      <c r="C6" s="11" t="s">
        <v>241</v>
      </c>
      <c r="D6" s="61">
        <f>F6/B6</f>
        <v>0</v>
      </c>
      <c r="F6" s="108">
        <v>0</v>
      </c>
      <c r="H6" s="99">
        <f>B6/$B$29</f>
        <v>0.36328898689835393</v>
      </c>
      <c r="J6" s="88">
        <f>D6*H6</f>
        <v>0</v>
      </c>
    </row>
    <row r="7" spans="1:11" x14ac:dyDescent="0.25">
      <c r="A7" s="166" t="s">
        <v>499</v>
      </c>
      <c r="B7" s="6">
        <f>SUM('Table 3.28-REC Volume'!H4)</f>
        <v>219465.59562694293</v>
      </c>
      <c r="C7" s="11" t="s">
        <v>241</v>
      </c>
      <c r="D7" s="61">
        <f>F7/B7</f>
        <v>0.10559546049249728</v>
      </c>
      <c r="F7" s="108">
        <f>'Table 3.26-REC Detail NonACS'!K4</f>
        <v>23174.570632487237</v>
      </c>
      <c r="G7" s="11" t="s">
        <v>242</v>
      </c>
      <c r="H7" s="99">
        <f>B7/$B$29</f>
        <v>0.44830553342416046</v>
      </c>
      <c r="J7" s="88">
        <f>D7*H7</f>
        <v>4.7339029243258855E-2</v>
      </c>
    </row>
    <row r="8" spans="1:11" x14ac:dyDescent="0.25">
      <c r="A8" s="166" t="s">
        <v>676</v>
      </c>
      <c r="B8" s="6">
        <f>SUM('Table 3.28-REC Volume'!H8)</f>
        <v>47303.698805077503</v>
      </c>
      <c r="C8" s="11" t="s">
        <v>241</v>
      </c>
      <c r="D8" s="61">
        <f>F8/B8</f>
        <v>5.2797730246248634E-2</v>
      </c>
      <c r="F8" s="108">
        <f>'Table 3.26-REC Detail NonACS'!K8</f>
        <v>2497.527929160276</v>
      </c>
      <c r="G8" s="11" t="s">
        <v>242</v>
      </c>
      <c r="H8" s="99">
        <f>B8/$B$29</f>
        <v>9.6627946923370317E-2</v>
      </c>
      <c r="J8" s="88">
        <f>D8*H8</f>
        <v>5.1017362759089363E-3</v>
      </c>
    </row>
    <row r="9" spans="1:11" x14ac:dyDescent="0.25">
      <c r="A9" s="166" t="s">
        <v>489</v>
      </c>
      <c r="B9" s="6">
        <v>20451.969529965801</v>
      </c>
      <c r="C9" s="11" t="s">
        <v>243</v>
      </c>
      <c r="D9" s="61">
        <f>'Table 3.21-CFS CIOSS Rejs'!I9</f>
        <v>0.31369060299387663</v>
      </c>
      <c r="E9" s="11" t="s">
        <v>244</v>
      </c>
      <c r="F9" s="108">
        <f>B9*D9</f>
        <v>6415.5906542673638</v>
      </c>
      <c r="H9" s="99">
        <f>B9/$B$29</f>
        <v>4.1777532754115138E-2</v>
      </c>
      <c r="J9" s="88">
        <f>D9*H9</f>
        <v>1.3105219441234809E-2</v>
      </c>
      <c r="K9" s="6"/>
    </row>
    <row r="10" spans="1:11" x14ac:dyDescent="0.25">
      <c r="A10" s="60" t="s">
        <v>102</v>
      </c>
      <c r="B10" s="6">
        <f>B5</f>
        <v>465067.46024999989</v>
      </c>
      <c r="D10" s="61">
        <f>F10/B10</f>
        <v>0.13471408673248983</v>
      </c>
      <c r="F10" s="108">
        <f>SUM(F5:F9)</f>
        <v>62651.138176577246</v>
      </c>
      <c r="H10" s="104"/>
      <c r="J10" s="19">
        <f>SUM(J5:J9)</f>
        <v>0.12797838239586529</v>
      </c>
    </row>
    <row r="11" spans="1:11" ht="5.15" customHeight="1" x14ac:dyDescent="0.25">
      <c r="A11" s="60"/>
      <c r="B11" s="6"/>
      <c r="F11" s="108"/>
      <c r="H11" s="104"/>
    </row>
    <row r="12" spans="1:11" ht="13" x14ac:dyDescent="0.3">
      <c r="A12" s="14" t="s">
        <v>578</v>
      </c>
      <c r="F12" s="108"/>
    </row>
    <row r="13" spans="1:11" x14ac:dyDescent="0.25">
      <c r="A13" s="258" t="s">
        <v>307</v>
      </c>
      <c r="B13" s="6">
        <f>'Table 3.16-Route UAA PARS'!D106</f>
        <v>24477.234750000032</v>
      </c>
      <c r="C13" s="205" t="s">
        <v>582</v>
      </c>
      <c r="D13" s="61">
        <f t="shared" ref="D13:D18" si="0">F13/B13</f>
        <v>7.3147981858659297E-2</v>
      </c>
      <c r="E13" s="205"/>
      <c r="F13" s="108">
        <f>'Table 3.16-Route UAA PARS'!J106</f>
        <v>1790.4603234431472</v>
      </c>
      <c r="G13" s="205" t="s">
        <v>582</v>
      </c>
      <c r="H13" s="99">
        <f t="shared" ref="H13:H19" si="1">B13/$B$29</f>
        <v>5.0000000000000072E-2</v>
      </c>
      <c r="J13" s="88">
        <f t="shared" ref="J13:J19" si="2">D13*H13</f>
        <v>3.6573990929329703E-3</v>
      </c>
    </row>
    <row r="14" spans="1:11" x14ac:dyDescent="0.25">
      <c r="A14" s="258" t="s">
        <v>495</v>
      </c>
      <c r="B14" s="6">
        <f>'Table 3.18-Nixie UAA'!D6</f>
        <v>24477.234750000025</v>
      </c>
      <c r="C14" s="205" t="s">
        <v>586</v>
      </c>
      <c r="D14" s="61">
        <f t="shared" si="0"/>
        <v>7.6674239613658763E-3</v>
      </c>
      <c r="E14" s="205"/>
      <c r="F14" s="108">
        <f>'Table 3.18-Nixie UAA'!I6</f>
        <v>187.67733623012768</v>
      </c>
      <c r="G14" s="205" t="s">
        <v>586</v>
      </c>
      <c r="H14" s="99">
        <f t="shared" si="1"/>
        <v>5.0000000000000058E-2</v>
      </c>
      <c r="J14" s="88">
        <f t="shared" si="2"/>
        <v>3.8337119806829427E-4</v>
      </c>
    </row>
    <row r="15" spans="1:11" x14ac:dyDescent="0.25">
      <c r="A15" s="258" t="s">
        <v>481</v>
      </c>
      <c r="B15" s="6">
        <f>SUM('Table 3.24-CIOSS Detail'!E19,'Table 3.24-CIOSS Detail'!E23)</f>
        <v>24477.234750000025</v>
      </c>
      <c r="C15" s="205" t="s">
        <v>240</v>
      </c>
      <c r="D15" s="61">
        <f t="shared" si="0"/>
        <v>4.9483068919451048E-2</v>
      </c>
      <c r="E15" s="205"/>
      <c r="F15" s="108">
        <f>SUM('Table 3.24-CIOSS Detail'!K19,'Table 3.24-CIOSS Detail'!K23)</f>
        <v>1211.2086940918334</v>
      </c>
      <c r="G15" s="205" t="s">
        <v>240</v>
      </c>
      <c r="H15" s="99">
        <f t="shared" si="1"/>
        <v>5.0000000000000058E-2</v>
      </c>
      <c r="J15" s="88">
        <f t="shared" si="2"/>
        <v>2.4741534459725551E-3</v>
      </c>
    </row>
    <row r="16" spans="1:11" x14ac:dyDescent="0.25">
      <c r="A16" s="258" t="s">
        <v>95</v>
      </c>
      <c r="B16" s="6">
        <f>SUM('Table 3.28-REC Volume'!G19,'Table 3.28-REC Volume'!G23)</f>
        <v>5382.187519242525</v>
      </c>
      <c r="C16" s="11" t="s">
        <v>241</v>
      </c>
      <c r="D16" s="61">
        <f t="shared" si="0"/>
        <v>0</v>
      </c>
      <c r="F16" s="108">
        <v>0</v>
      </c>
      <c r="H16" s="99">
        <f t="shared" si="1"/>
        <v>1.0994271971923882E-2</v>
      </c>
      <c r="J16" s="88">
        <f t="shared" si="2"/>
        <v>0</v>
      </c>
    </row>
    <row r="17" spans="1:11" x14ac:dyDescent="0.25">
      <c r="A17" s="166" t="s">
        <v>499</v>
      </c>
      <c r="B17" s="6">
        <f>SUM('Table 3.28-REC Volume'!H19)</f>
        <v>14823.553388837394</v>
      </c>
      <c r="C17" s="11" t="s">
        <v>241</v>
      </c>
      <c r="D17" s="61">
        <f t="shared" si="0"/>
        <v>0.10559546049249728</v>
      </c>
      <c r="E17" s="205"/>
      <c r="F17" s="108">
        <f>'Table 3.26-REC Detail NonACS'!K19</f>
        <v>1565.2999462294033</v>
      </c>
      <c r="G17" s="11" t="s">
        <v>242</v>
      </c>
      <c r="H17" s="99">
        <f t="shared" si="1"/>
        <v>3.0280286029526673E-2</v>
      </c>
      <c r="J17" s="88">
        <f t="shared" si="2"/>
        <v>3.1974607471324011E-3</v>
      </c>
    </row>
    <row r="18" spans="1:11" ht="12.75" customHeight="1" x14ac:dyDescent="0.25">
      <c r="A18" s="166" t="s">
        <v>676</v>
      </c>
      <c r="B18" s="6">
        <f>SUM('Table 3.28-REC Volume'!H23)</f>
        <v>3195.0743929745367</v>
      </c>
      <c r="C18" s="11" t="s">
        <v>241</v>
      </c>
      <c r="D18" s="61">
        <f t="shared" si="0"/>
        <v>5.2797730246248641E-2</v>
      </c>
      <c r="E18" s="205"/>
      <c r="F18" s="108">
        <f>'Table 3.26-REC Detail NonACS'!K23</f>
        <v>168.69267591696621</v>
      </c>
      <c r="G18" s="11" t="s">
        <v>242</v>
      </c>
      <c r="H18" s="99">
        <f t="shared" si="1"/>
        <v>6.5266244851750199E-3</v>
      </c>
      <c r="J18" s="88">
        <f t="shared" si="2"/>
        <v>3.4459095898683209E-4</v>
      </c>
    </row>
    <row r="19" spans="1:11" x14ac:dyDescent="0.25">
      <c r="A19" s="166" t="s">
        <v>489</v>
      </c>
      <c r="B19" s="6">
        <f>'Table 3.21-CFS CIOSS Rejs'!B9-B9</f>
        <v>1076.4194489455695</v>
      </c>
      <c r="C19" s="205" t="s">
        <v>587</v>
      </c>
      <c r="D19" s="61">
        <f>'Table 3.21-CFS CIOSS Rejs'!I9</f>
        <v>0.31369060299387663</v>
      </c>
      <c r="E19" s="11" t="s">
        <v>244</v>
      </c>
      <c r="F19" s="108">
        <f>B19*D19</f>
        <v>337.6626660140721</v>
      </c>
      <c r="H19" s="99">
        <f t="shared" si="1"/>
        <v>2.1988175133744827E-3</v>
      </c>
      <c r="J19" s="88">
        <f t="shared" si="2"/>
        <v>6.8974839164393789E-4</v>
      </c>
    </row>
    <row r="20" spans="1:11" ht="12.75" customHeight="1" x14ac:dyDescent="0.25">
      <c r="A20" s="60" t="s">
        <v>102</v>
      </c>
      <c r="B20" s="6">
        <f>B13</f>
        <v>24477.234750000032</v>
      </c>
      <c r="D20" s="61">
        <f>F20/B20</f>
        <v>0.2149344766947395</v>
      </c>
      <c r="F20" s="108">
        <f>SUM(F13:F19)</f>
        <v>5261.0016419255498</v>
      </c>
      <c r="H20" s="104"/>
      <c r="J20" s="19">
        <f>SUM(J13:J19)</f>
        <v>1.0746723834736991E-2</v>
      </c>
    </row>
    <row r="21" spans="1:11" ht="5.15" customHeight="1" x14ac:dyDescent="0.25">
      <c r="A21" s="60"/>
      <c r="B21" s="6"/>
      <c r="F21" s="108"/>
      <c r="H21" s="104"/>
    </row>
    <row r="22" spans="1:11" ht="12.75" customHeight="1" x14ac:dyDescent="0.3">
      <c r="A22" s="14" t="s">
        <v>579</v>
      </c>
      <c r="B22" s="6"/>
      <c r="F22" s="108"/>
      <c r="H22" s="104"/>
    </row>
    <row r="23" spans="1:11" ht="12.75" customHeight="1" x14ac:dyDescent="0.25">
      <c r="A23" s="258" t="s">
        <v>320</v>
      </c>
      <c r="B23" s="6">
        <f>SUM(B10,B20)</f>
        <v>489544.69499999995</v>
      </c>
      <c r="D23" s="61">
        <f>'Table 3.30-UAA MP Cost'!D8</f>
        <v>0.12956115630784704</v>
      </c>
      <c r="E23" s="11" t="s">
        <v>591</v>
      </c>
      <c r="F23" s="108">
        <f>B23*D23</f>
        <v>63425.976748572299</v>
      </c>
      <c r="H23" s="99">
        <f>B23/$B$29</f>
        <v>1</v>
      </c>
      <c r="J23" s="88">
        <f>D23*H23</f>
        <v>0.12956115630784704</v>
      </c>
    </row>
    <row r="24" spans="1:11" x14ac:dyDescent="0.25">
      <c r="A24" s="258" t="s">
        <v>99</v>
      </c>
      <c r="B24" s="6">
        <f>'Table 3.35-PD Vols'!B6</f>
        <v>0</v>
      </c>
      <c r="C24" s="11" t="s">
        <v>590</v>
      </c>
      <c r="D24" s="61">
        <f>'Table 3.32-Accounting Post Due'!I7</f>
        <v>3.2507701047636774</v>
      </c>
      <c r="E24" s="11" t="s">
        <v>592</v>
      </c>
      <c r="F24" s="108">
        <f>B24*D24</f>
        <v>0</v>
      </c>
      <c r="H24" s="99">
        <f>B24/$B$29</f>
        <v>0</v>
      </c>
      <c r="J24" s="88">
        <f>D24*H24</f>
        <v>0</v>
      </c>
    </row>
    <row r="25" spans="1:11" x14ac:dyDescent="0.25">
      <c r="A25" s="258" t="s">
        <v>100</v>
      </c>
      <c r="B25" s="6">
        <f>'Table 3.35-PD Vols'!B7</f>
        <v>0</v>
      </c>
      <c r="C25" s="11" t="s">
        <v>590</v>
      </c>
      <c r="D25" s="61">
        <f>'Table 3.33-Delivery Post Due'!I11</f>
        <v>0.89988403767786551</v>
      </c>
      <c r="E25" s="11" t="s">
        <v>593</v>
      </c>
      <c r="F25" s="108">
        <f>B25*D25</f>
        <v>0</v>
      </c>
      <c r="H25" s="99">
        <f>B25/$B$29</f>
        <v>0</v>
      </c>
      <c r="J25" s="88">
        <f>D25*H25</f>
        <v>0</v>
      </c>
    </row>
    <row r="26" spans="1:11" x14ac:dyDescent="0.25">
      <c r="A26" s="258" t="s">
        <v>210</v>
      </c>
      <c r="B26" s="6">
        <f>'Table 3.35-PD Vols'!B8</f>
        <v>0</v>
      </c>
      <c r="C26" s="11" t="s">
        <v>590</v>
      </c>
      <c r="D26" s="61">
        <f>'Table 3.34-Window Post Due'!I7</f>
        <v>0.49923740110555226</v>
      </c>
      <c r="E26" s="11" t="s">
        <v>594</v>
      </c>
      <c r="F26" s="108">
        <f>B26*D26</f>
        <v>0</v>
      </c>
      <c r="H26" s="99">
        <f>B26/$B$29</f>
        <v>0</v>
      </c>
      <c r="J26" s="88">
        <f>D26*H26</f>
        <v>0</v>
      </c>
    </row>
    <row r="27" spans="1:11" x14ac:dyDescent="0.25">
      <c r="A27" s="60" t="s">
        <v>102</v>
      </c>
      <c r="B27" s="6">
        <f>B23</f>
        <v>489544.69499999995</v>
      </c>
      <c r="D27" s="61">
        <f>F27/B27</f>
        <v>0.12956115630784704</v>
      </c>
      <c r="F27" s="108">
        <f>SUM(F23:F26)</f>
        <v>63425.976748572299</v>
      </c>
      <c r="H27" s="104"/>
      <c r="J27" s="19">
        <f>SUM(J23:J26)</f>
        <v>0.12956115630784704</v>
      </c>
    </row>
    <row r="28" spans="1:11" ht="5.15" customHeight="1" x14ac:dyDescent="0.3">
      <c r="A28" s="14"/>
      <c r="B28" s="6"/>
      <c r="D28" s="61"/>
      <c r="F28" s="108"/>
      <c r="H28" s="104"/>
    </row>
    <row r="29" spans="1:11" ht="13" x14ac:dyDescent="0.3">
      <c r="A29" s="14" t="s">
        <v>504</v>
      </c>
      <c r="B29" s="260">
        <f>SUM(B10,B20)</f>
        <v>489544.69499999995</v>
      </c>
      <c r="D29" s="61"/>
      <c r="F29" s="368">
        <f>SUM(F10,F20,F27)</f>
        <v>131338.11656707508</v>
      </c>
      <c r="H29" s="104"/>
      <c r="J29" s="311">
        <f>SUM(J10,J20,J27)</f>
        <v>0.26828626253844934</v>
      </c>
    </row>
    <row r="30" spans="1:11" ht="13" hidden="1" x14ac:dyDescent="0.3">
      <c r="A30" s="14"/>
      <c r="B30" s="6"/>
      <c r="D30" s="61"/>
      <c r="F30" s="108"/>
      <c r="H30" s="104"/>
    </row>
    <row r="31" spans="1:11" ht="13" hidden="1" x14ac:dyDescent="0.3">
      <c r="A31" s="5"/>
      <c r="B31" s="167"/>
      <c r="F31" s="262"/>
      <c r="H31" s="6"/>
      <c r="J31" s="6"/>
    </row>
    <row r="32" spans="1:11" hidden="1" x14ac:dyDescent="0.25">
      <c r="A32" s="20" t="s">
        <v>191</v>
      </c>
      <c r="B32" s="105">
        <f>B5-SUM(B6:B9)</f>
        <v>0</v>
      </c>
      <c r="G32" s="365" t="s">
        <v>311</v>
      </c>
      <c r="H32" s="6">
        <f>SUM('Table 3.16-Route UAA PARS'!J106)</f>
        <v>1790.4603234431472</v>
      </c>
      <c r="J32" s="6">
        <f>SUM(F13)</f>
        <v>1790.4603234431472</v>
      </c>
      <c r="K32" s="105">
        <f t="shared" ref="K32:K39" si="3">H32-J32</f>
        <v>0</v>
      </c>
    </row>
    <row r="33" spans="1:11" ht="13" hidden="1" x14ac:dyDescent="0.3">
      <c r="A33" s="5"/>
      <c r="B33" s="105">
        <f>B15-SUM(B16:B19)</f>
        <v>0</v>
      </c>
      <c r="G33" s="36" t="s">
        <v>312</v>
      </c>
      <c r="H33" s="6">
        <f>SUM('Table 3.18-Nixie UAA'!I6)</f>
        <v>187.67733623012768</v>
      </c>
      <c r="J33" s="6">
        <f>SUM(F14)</f>
        <v>187.67733623012768</v>
      </c>
      <c r="K33" s="105">
        <f t="shared" si="3"/>
        <v>0</v>
      </c>
    </row>
    <row r="34" spans="1:11" ht="13" hidden="1" x14ac:dyDescent="0.3">
      <c r="A34" s="5"/>
      <c r="B34" s="105">
        <f>B29-SUM('Table 3.23-CIOSS Summary'!C4,'Table 3.23-CIOSS Summary'!C8,'Table 3.23-CIOSS Summary'!C11)</f>
        <v>0</v>
      </c>
      <c r="G34" s="36" t="s">
        <v>313</v>
      </c>
      <c r="H34" s="6">
        <f>SUM('Table 3.21-CFS CIOSS Rejs'!H9)</f>
        <v>6753.2533202814366</v>
      </c>
      <c r="J34" s="6">
        <f>SUM(F9,F19)</f>
        <v>6753.2533202814357</v>
      </c>
      <c r="K34" s="105">
        <f t="shared" si="3"/>
        <v>0</v>
      </c>
    </row>
    <row r="35" spans="1:11" ht="13" hidden="1" x14ac:dyDescent="0.3">
      <c r="A35" s="5"/>
      <c r="B35" s="167"/>
      <c r="G35" s="365" t="s">
        <v>502</v>
      </c>
      <c r="H35" s="6">
        <f>SUM('Table 3.23-CIOSS Summary'!I4,'Table 3.23-CIOSS Summary'!I8,'Table 3.23-CIOSS Summary'!I11)</f>
        <v>31774.657654754199</v>
      </c>
      <c r="J35" s="6">
        <f>SUM(F5,F15)</f>
        <v>31774.657654754203</v>
      </c>
      <c r="K35" s="105">
        <f t="shared" si="3"/>
        <v>0</v>
      </c>
    </row>
    <row r="36" spans="1:11" ht="13" hidden="1" x14ac:dyDescent="0.3">
      <c r="A36" s="5"/>
      <c r="B36" s="167"/>
      <c r="G36" s="365" t="s">
        <v>503</v>
      </c>
      <c r="H36" s="6">
        <f>'Table 3.25-REC Summary'!K4+'Table 3.25-REC Summary'!K8</f>
        <v>27406.091183793884</v>
      </c>
      <c r="J36" s="6">
        <f>SUM(F7:F8,F17:F18)</f>
        <v>27406.09118379388</v>
      </c>
      <c r="K36" s="105">
        <f t="shared" si="3"/>
        <v>0</v>
      </c>
    </row>
    <row r="37" spans="1:11" ht="13" hidden="1" x14ac:dyDescent="0.3">
      <c r="A37" s="5"/>
      <c r="B37" s="167"/>
      <c r="G37" s="36" t="s">
        <v>518</v>
      </c>
      <c r="H37" s="6">
        <f>'Table 3.30-UAA MP Cost'!F8</f>
        <v>63425.976748572291</v>
      </c>
      <c r="J37" s="6">
        <f>F23</f>
        <v>63425.976748572299</v>
      </c>
      <c r="K37" s="105">
        <f t="shared" si="3"/>
        <v>0</v>
      </c>
    </row>
    <row r="38" spans="1:11" ht="13" hidden="1" x14ac:dyDescent="0.3">
      <c r="A38" s="5"/>
      <c r="G38" s="36" t="s">
        <v>315</v>
      </c>
      <c r="H38" s="6">
        <f>SUM(F24:F26)</f>
        <v>0</v>
      </c>
      <c r="J38" s="6">
        <f>SUM(F24:F26)</f>
        <v>0</v>
      </c>
      <c r="K38" s="105">
        <f t="shared" si="3"/>
        <v>0</v>
      </c>
    </row>
    <row r="39" spans="1:11" ht="13" hidden="1" x14ac:dyDescent="0.3">
      <c r="A39" s="5"/>
      <c r="B39" s="167"/>
      <c r="G39" s="36" t="s">
        <v>314</v>
      </c>
      <c r="H39" s="6">
        <f>SUM(H32:H38)</f>
        <v>131338.11656707508</v>
      </c>
      <c r="J39" s="6">
        <f>SUM(J32:J38)</f>
        <v>131338.11656707508</v>
      </c>
      <c r="K39" s="105">
        <f t="shared" si="3"/>
        <v>0</v>
      </c>
    </row>
    <row r="40" spans="1:11" x14ac:dyDescent="0.25">
      <c r="A40" s="204"/>
      <c r="B40" s="204"/>
      <c r="C40" s="204"/>
      <c r="D40" s="204"/>
      <c r="E40" s="204"/>
      <c r="F40" s="204"/>
      <c r="H40" s="167"/>
    </row>
    <row r="41" spans="1:11" x14ac:dyDescent="0.25">
      <c r="A41" s="12" t="s">
        <v>235</v>
      </c>
    </row>
    <row r="42" spans="1:11" x14ac:dyDescent="0.25">
      <c r="A42" s="11" t="s">
        <v>65</v>
      </c>
      <c r="D42" s="11"/>
      <c r="E42" s="11" t="s">
        <v>679</v>
      </c>
    </row>
    <row r="43" spans="1:11" x14ac:dyDescent="0.25">
      <c r="A43" s="11" t="s">
        <v>580</v>
      </c>
      <c r="D43" s="11"/>
      <c r="E43" s="11" t="s">
        <v>680</v>
      </c>
      <c r="F43" s="6"/>
      <c r="H43" s="161"/>
      <c r="J43" s="6"/>
    </row>
    <row r="44" spans="1:11" x14ac:dyDescent="0.25">
      <c r="A44" s="11" t="s">
        <v>581</v>
      </c>
      <c r="D44" s="11"/>
      <c r="E44" s="11" t="s">
        <v>681</v>
      </c>
      <c r="F44" s="6"/>
      <c r="H44" s="161"/>
      <c r="J44" s="6"/>
    </row>
    <row r="45" spans="1:11" x14ac:dyDescent="0.25">
      <c r="A45" s="11" t="s">
        <v>583</v>
      </c>
      <c r="E45" s="11" t="s">
        <v>682</v>
      </c>
      <c r="J45" s="6"/>
    </row>
    <row r="46" spans="1:11" x14ac:dyDescent="0.25">
      <c r="A46" s="11" t="s">
        <v>678</v>
      </c>
      <c r="E46" s="11" t="s">
        <v>683</v>
      </c>
      <c r="F46" s="6"/>
    </row>
    <row r="47" spans="1:11" x14ac:dyDescent="0.25">
      <c r="A47" s="11" t="s">
        <v>584</v>
      </c>
      <c r="E47" s="11" t="s">
        <v>43</v>
      </c>
      <c r="F47" s="6"/>
    </row>
    <row r="48" spans="1:11" x14ac:dyDescent="0.25">
      <c r="A48" s="11" t="s">
        <v>615</v>
      </c>
    </row>
    <row r="49" spans="1:1" x14ac:dyDescent="0.25">
      <c r="A49" s="11" t="s">
        <v>585</v>
      </c>
    </row>
    <row r="50" spans="1:1" x14ac:dyDescent="0.25">
      <c r="A50" s="11" t="s">
        <v>588</v>
      </c>
    </row>
    <row r="51" spans="1:1" x14ac:dyDescent="0.25">
      <c r="A51" s="11" t="s">
        <v>589</v>
      </c>
    </row>
    <row r="52" spans="1:1" x14ac:dyDescent="0.25">
      <c r="A52" s="11" t="s">
        <v>616</v>
      </c>
    </row>
  </sheetData>
  <phoneticPr fontId="5" type="noConversion"/>
  <printOptions horizontalCentered="1"/>
  <pageMargins left="0.75" right="0.75" top="1" bottom="1" header="0.5" footer="0.5"/>
  <pageSetup scale="89" orientation="landscape" r:id="rId1"/>
  <headerFooter alignWithMargins="0">
    <oddFooter>&amp;L&amp;F</oddFooter>
  </headerFooter>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9">
    <pageSetUpPr fitToPage="1"/>
  </sheetPr>
  <dimension ref="A1:C14"/>
  <sheetViews>
    <sheetView zoomScale="70" workbookViewId="0"/>
  </sheetViews>
  <sheetFormatPr defaultColWidth="9.08984375" defaultRowHeight="12.5" x14ac:dyDescent="0.25"/>
  <cols>
    <col min="1" max="1" width="13.54296875" customWidth="1"/>
    <col min="2" max="3" width="11.6328125" customWidth="1"/>
  </cols>
  <sheetData>
    <row r="1" spans="1:3" ht="15.75" customHeight="1" x14ac:dyDescent="0.35">
      <c r="A1" s="117" t="s">
        <v>765</v>
      </c>
    </row>
    <row r="2" spans="1:3" ht="15.75" customHeight="1" x14ac:dyDescent="0.35">
      <c r="A2" s="117" t="s">
        <v>787</v>
      </c>
    </row>
    <row r="3" spans="1:3" ht="5.15" customHeight="1" x14ac:dyDescent="0.35">
      <c r="A3" s="223"/>
    </row>
    <row r="4" spans="1:3" ht="25" x14ac:dyDescent="0.25">
      <c r="A4" s="326" t="s">
        <v>357</v>
      </c>
      <c r="B4" s="125" t="s">
        <v>250</v>
      </c>
      <c r="C4" s="155" t="s">
        <v>172</v>
      </c>
    </row>
    <row r="5" spans="1:3" x14ac:dyDescent="0.25">
      <c r="A5" t="s">
        <v>319</v>
      </c>
      <c r="B5" s="34">
        <f>'Table 3.37-Notice Inputs'!B19/1000</f>
        <v>5281.2374215381478</v>
      </c>
      <c r="C5" s="40">
        <f>B5/B7</f>
        <v>0.56239069836320355</v>
      </c>
    </row>
    <row r="6" spans="1:3" x14ac:dyDescent="0.25">
      <c r="A6" t="s">
        <v>318</v>
      </c>
      <c r="B6" s="34">
        <f>'Table 3.37-Notice Inputs'!B20/1000</f>
        <v>4109.4538486211886</v>
      </c>
      <c r="C6" s="58">
        <f>B6/B7</f>
        <v>0.43760930163679651</v>
      </c>
    </row>
    <row r="7" spans="1:3" x14ac:dyDescent="0.25">
      <c r="A7" t="s">
        <v>102</v>
      </c>
      <c r="B7" s="24">
        <f>SUM(B5:B6)</f>
        <v>9390.6912701593355</v>
      </c>
      <c r="C7" s="421">
        <f>SUM(C5:C6)</f>
        <v>1</v>
      </c>
    </row>
    <row r="8" spans="1:3" x14ac:dyDescent="0.25">
      <c r="A8" s="103"/>
      <c r="B8" s="203"/>
      <c r="C8" s="348"/>
    </row>
    <row r="9" spans="1:3" x14ac:dyDescent="0.25">
      <c r="A9" s="4" t="s">
        <v>235</v>
      </c>
      <c r="B9" s="24"/>
      <c r="C9" s="57"/>
    </row>
    <row r="10" spans="1:3" x14ac:dyDescent="0.25">
      <c r="A10" s="17" t="s">
        <v>775</v>
      </c>
      <c r="B10" s="24"/>
      <c r="C10" s="57"/>
    </row>
    <row r="11" spans="1:3" x14ac:dyDescent="0.25">
      <c r="A11" s="4"/>
      <c r="B11" s="24"/>
      <c r="C11" s="57"/>
    </row>
    <row r="12" spans="1:3" x14ac:dyDescent="0.25">
      <c r="A12" s="4"/>
      <c r="B12" s="24"/>
      <c r="C12" s="57"/>
    </row>
    <row r="13" spans="1:3" x14ac:dyDescent="0.25">
      <c r="A13" s="4"/>
      <c r="B13" s="24"/>
      <c r="C13" s="57"/>
    </row>
    <row r="14" spans="1:3" x14ac:dyDescent="0.25">
      <c r="A14" s="4"/>
      <c r="B14" s="24"/>
      <c r="C14" s="57"/>
    </row>
  </sheetData>
  <phoneticPr fontId="5" type="noConversion"/>
  <printOptions horizontalCentered="1"/>
  <pageMargins left="0.75" right="0.75" top="1" bottom="1" header="0.5" footer="0.5"/>
  <pageSetup orientation="landscape" r:id="rId1"/>
  <headerFooter alignWithMargins="0">
    <oddFooter>&amp;L&amp;F</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7">
    <pageSetUpPr fitToPage="1"/>
  </sheetPr>
  <dimension ref="A1:O18"/>
  <sheetViews>
    <sheetView zoomScale="70" workbookViewId="0"/>
  </sheetViews>
  <sheetFormatPr defaultColWidth="7.90625" defaultRowHeight="12.5" x14ac:dyDescent="0.25"/>
  <cols>
    <col min="1" max="1" width="28.08984375" style="4" customWidth="1"/>
    <col min="2" max="2" width="26.36328125" style="4" customWidth="1"/>
    <col min="3" max="3" width="2.6328125" style="4" customWidth="1"/>
    <col min="4" max="4" width="12.6328125" style="4" customWidth="1"/>
    <col min="5" max="5" width="2.6328125" style="4" customWidth="1"/>
    <col min="6" max="6" width="25.90625" style="28" customWidth="1"/>
    <col min="7" max="7" width="2.6328125" style="4" customWidth="1"/>
    <col min="8" max="8" width="12.6328125" style="4" customWidth="1"/>
    <col min="9" max="9" width="2.6328125" style="4" customWidth="1"/>
    <col min="10" max="10" width="11.36328125" style="4" customWidth="1"/>
    <col min="11" max="13" width="7.90625" style="4" customWidth="1"/>
    <col min="14" max="14" width="9.453125" style="4" customWidth="1"/>
    <col min="15" max="15" width="9.36328125" style="4" customWidth="1"/>
    <col min="16" max="16384" width="7.90625" style="4"/>
  </cols>
  <sheetData>
    <row r="1" spans="1:15" ht="15.5" x14ac:dyDescent="0.35">
      <c r="A1" s="117" t="s">
        <v>719</v>
      </c>
      <c r="B1" s="1"/>
      <c r="C1" s="1"/>
      <c r="D1" s="1"/>
      <c r="E1" s="1"/>
      <c r="F1" s="1"/>
    </row>
    <row r="2" spans="1:15" ht="15.5" x14ac:dyDescent="0.35">
      <c r="A2" s="117" t="s">
        <v>787</v>
      </c>
      <c r="B2" s="1"/>
      <c r="C2" s="1"/>
      <c r="D2" s="1"/>
      <c r="E2" s="1"/>
      <c r="F2" s="1"/>
    </row>
    <row r="3" spans="1:15" ht="25" x14ac:dyDescent="0.25">
      <c r="B3" s="9" t="s">
        <v>745</v>
      </c>
      <c r="C3" s="9"/>
      <c r="D3" s="9" t="s">
        <v>457</v>
      </c>
      <c r="E3" s="9"/>
      <c r="F3" s="9" t="s">
        <v>458</v>
      </c>
      <c r="H3" s="207" t="s">
        <v>256</v>
      </c>
      <c r="I3" s="72"/>
      <c r="J3" s="3" t="s">
        <v>134</v>
      </c>
    </row>
    <row r="4" spans="1:15" ht="13" x14ac:dyDescent="0.3">
      <c r="A4" s="14" t="s">
        <v>743</v>
      </c>
      <c r="B4" s="73">
        <f>SUM('Table 3.29-UAA MP Units'!B22:C22)/SUM('Table 3.29-UAA MP Units'!B27:C27)+'Table 3.29-UAA MP Units'!B12</f>
        <v>7.7979717007660238E-2</v>
      </c>
      <c r="C4" s="206" t="s">
        <v>236</v>
      </c>
      <c r="D4" s="162">
        <f>'Table 3.37-Notice Inputs'!B4</f>
        <v>1.0360078863380962</v>
      </c>
      <c r="E4" s="220" t="s">
        <v>239</v>
      </c>
      <c r="F4" s="73">
        <f>B4/D4</f>
        <v>7.5269424138545538E-2</v>
      </c>
      <c r="H4" s="58">
        <v>1.7351466784479892</v>
      </c>
      <c r="I4" s="58"/>
      <c r="J4" s="73">
        <f>F4*H4</f>
        <v>0.13060349128269019</v>
      </c>
      <c r="M4" s="24"/>
      <c r="N4" s="48"/>
      <c r="O4" s="28"/>
    </row>
    <row r="5" spans="1:15" ht="13" x14ac:dyDescent="0.3">
      <c r="A5" s="14" t="s">
        <v>744</v>
      </c>
      <c r="B5" s="73">
        <v>5.169283758753955E-2</v>
      </c>
      <c r="C5" s="206" t="s">
        <v>240</v>
      </c>
      <c r="D5" s="162">
        <v>1</v>
      </c>
      <c r="E5" s="220"/>
      <c r="F5" s="73">
        <f>B5/D5</f>
        <v>5.169283758753955E-2</v>
      </c>
      <c r="H5" s="58">
        <v>1.7351466784479892</v>
      </c>
      <c r="I5" s="58"/>
      <c r="J5" s="73">
        <f>F5*H5</f>
        <v>8.9694655439570614E-2</v>
      </c>
      <c r="M5" s="24"/>
      <c r="N5" s="48"/>
      <c r="O5" s="48"/>
    </row>
    <row r="6" spans="1:15" ht="13" x14ac:dyDescent="0.3">
      <c r="A6" s="5" t="s">
        <v>126</v>
      </c>
      <c r="B6" s="73">
        <f>'Table 3.29-UAA MP Units'!D17+'Table 3.29-UAA MP Units'!B12</f>
        <v>0.24001501168151962</v>
      </c>
      <c r="C6" s="206" t="s">
        <v>236</v>
      </c>
      <c r="D6" s="162">
        <f>'Table 3.37-Notice Inputs'!B5</f>
        <v>8.3373400462591523</v>
      </c>
      <c r="E6" s="220" t="s">
        <v>239</v>
      </c>
      <c r="F6" s="73">
        <f>B6/D6</f>
        <v>2.8787959990813974E-2</v>
      </c>
      <c r="H6" s="58">
        <v>1.7351466784479892</v>
      </c>
      <c r="I6" s="58"/>
      <c r="J6" s="73">
        <f>F6*H6</f>
        <v>4.995133315735447E-2</v>
      </c>
      <c r="M6" s="24"/>
      <c r="N6" s="24"/>
      <c r="O6" s="62"/>
    </row>
    <row r="7" spans="1:15" ht="13" x14ac:dyDescent="0.3">
      <c r="A7" s="14" t="s">
        <v>268</v>
      </c>
      <c r="B7" s="73">
        <f>SUM('Table 3.29-UAA MP Units'!B22:C22)/SUM('Table 3.29-UAA MP Units'!B27:C27)+'Table 3.29-UAA MP Units'!B12</f>
        <v>7.7979717007660238E-2</v>
      </c>
      <c r="C7" s="206" t="s">
        <v>236</v>
      </c>
      <c r="D7" s="162">
        <v>1</v>
      </c>
      <c r="E7" s="220"/>
      <c r="F7" s="73">
        <f>B7/D7</f>
        <v>7.7979717007660238E-2</v>
      </c>
      <c r="H7" s="58">
        <v>1.7351466784479892</v>
      </c>
      <c r="I7" s="58"/>
      <c r="J7" s="73">
        <f>F7*H7</f>
        <v>0.13530624695215585</v>
      </c>
    </row>
    <row r="8" spans="1:15" x14ac:dyDescent="0.25">
      <c r="A8" s="103"/>
      <c r="B8" s="103"/>
      <c r="C8" s="103"/>
      <c r="D8" s="103"/>
      <c r="G8" s="57"/>
    </row>
    <row r="9" spans="1:15" x14ac:dyDescent="0.25">
      <c r="A9" s="4" t="s">
        <v>235</v>
      </c>
    </row>
    <row r="10" spans="1:15" x14ac:dyDescent="0.25">
      <c r="A10" s="17" t="s">
        <v>722</v>
      </c>
      <c r="B10" s="73"/>
      <c r="C10" s="73"/>
      <c r="G10" s="57"/>
    </row>
    <row r="11" spans="1:15" x14ac:dyDescent="0.25">
      <c r="A11" s="17" t="s">
        <v>795</v>
      </c>
    </row>
    <row r="12" spans="1:15" x14ac:dyDescent="0.25">
      <c r="A12" s="17" t="s">
        <v>706</v>
      </c>
    </row>
    <row r="13" spans="1:15" x14ac:dyDescent="0.25">
      <c r="A13" s="17" t="s">
        <v>822</v>
      </c>
    </row>
    <row r="14" spans="1:15" x14ac:dyDescent="0.25">
      <c r="A14" s="17"/>
    </row>
    <row r="15" spans="1:15" x14ac:dyDescent="0.25">
      <c r="A15" s="2"/>
    </row>
    <row r="16" spans="1:15" x14ac:dyDescent="0.25">
      <c r="A16" s="100"/>
      <c r="F16" s="4"/>
    </row>
    <row r="17" spans="1:6" x14ac:dyDescent="0.25">
      <c r="A17" s="100"/>
      <c r="F17" s="4"/>
    </row>
    <row r="18" spans="1:6" x14ac:dyDescent="0.25">
      <c r="A18" s="100"/>
      <c r="F18" s="4"/>
    </row>
  </sheetData>
  <phoneticPr fontId="0" type="noConversion"/>
  <printOptions horizontalCentered="1"/>
  <pageMargins left="0.75" right="0.75" top="1" bottom="1" header="0.5" footer="0.5"/>
  <pageSetup scale="97" orientation="landscape" r:id="rId1"/>
  <headerFooter alignWithMargins="0">
    <oddFooter>&amp;L&amp;F</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6">
    <pageSetUpPr fitToPage="1"/>
  </sheetPr>
  <dimension ref="A1:F44"/>
  <sheetViews>
    <sheetView zoomScale="70" workbookViewId="0"/>
  </sheetViews>
  <sheetFormatPr defaultRowHeight="12.5" x14ac:dyDescent="0.25"/>
  <cols>
    <col min="1" max="1" width="42.6328125" customWidth="1"/>
    <col min="2" max="2" width="13.6328125" customWidth="1"/>
    <col min="3" max="3" width="3.36328125" customWidth="1"/>
    <col min="4" max="4" width="10.6328125" customWidth="1"/>
    <col min="5" max="5" width="3.36328125" customWidth="1"/>
    <col min="6" max="6" width="13.6328125" customWidth="1"/>
  </cols>
  <sheetData>
    <row r="1" spans="1:6" ht="15.5" x14ac:dyDescent="0.35">
      <c r="A1" s="117" t="s">
        <v>720</v>
      </c>
      <c r="B1" s="15"/>
      <c r="C1" s="15"/>
      <c r="D1" s="15"/>
      <c r="E1" s="15"/>
      <c r="F1" s="15"/>
    </row>
    <row r="2" spans="1:6" ht="15.5" x14ac:dyDescent="0.35">
      <c r="A2" s="117" t="s">
        <v>787</v>
      </c>
      <c r="B2" s="15"/>
      <c r="C2" s="15"/>
      <c r="D2" s="15"/>
      <c r="E2" s="15"/>
      <c r="F2" s="15"/>
    </row>
    <row r="3" spans="1:6" ht="13" x14ac:dyDescent="0.3">
      <c r="A3" s="26"/>
      <c r="B3" s="109"/>
      <c r="C3" s="110"/>
      <c r="D3" s="110"/>
      <c r="E3" s="110"/>
      <c r="F3" s="111"/>
    </row>
    <row r="4" spans="1:6" x14ac:dyDescent="0.25">
      <c r="B4" s="160" t="s">
        <v>226</v>
      </c>
      <c r="C4" s="160"/>
      <c r="D4" s="112"/>
      <c r="E4" s="224"/>
      <c r="F4" s="157" t="s">
        <v>117</v>
      </c>
    </row>
    <row r="5" spans="1:6" x14ac:dyDescent="0.25">
      <c r="B5" s="159" t="s">
        <v>118</v>
      </c>
      <c r="C5" s="159"/>
      <c r="D5" s="115" t="s">
        <v>97</v>
      </c>
      <c r="E5" s="225"/>
      <c r="F5" s="158" t="s">
        <v>118</v>
      </c>
    </row>
    <row r="6" spans="1:6" ht="13" x14ac:dyDescent="0.3">
      <c r="A6" s="173" t="s">
        <v>119</v>
      </c>
      <c r="B6" s="174"/>
      <c r="C6" s="174"/>
      <c r="D6" s="174"/>
      <c r="E6" s="226"/>
      <c r="F6" s="175"/>
    </row>
    <row r="7" spans="1:6" ht="13" x14ac:dyDescent="0.3">
      <c r="A7" s="176" t="s">
        <v>120</v>
      </c>
      <c r="B7" s="177"/>
      <c r="C7" s="177"/>
      <c r="D7" s="178"/>
      <c r="E7" s="227"/>
      <c r="F7" s="179"/>
    </row>
    <row r="8" spans="1:6" x14ac:dyDescent="0.25">
      <c r="A8" s="235" t="s">
        <v>455</v>
      </c>
      <c r="B8" s="113">
        <f>'Table 3.11-Form3547 Costs'!L52</f>
        <v>2.1877519001841837E-2</v>
      </c>
      <c r="C8" s="231" t="s">
        <v>236</v>
      </c>
      <c r="D8" s="178"/>
      <c r="E8" s="227"/>
      <c r="F8" s="179"/>
    </row>
    <row r="9" spans="1:6" x14ac:dyDescent="0.25">
      <c r="A9" s="235" t="s">
        <v>318</v>
      </c>
      <c r="B9" s="113">
        <f>'Table 3.11-Form3547 Costs'!L53</f>
        <v>2.3375787225181732E-3</v>
      </c>
      <c r="C9" s="231" t="s">
        <v>236</v>
      </c>
      <c r="D9" s="178"/>
      <c r="E9" s="227"/>
      <c r="F9" s="179"/>
    </row>
    <row r="10" spans="1:6" x14ac:dyDescent="0.25">
      <c r="A10" s="180" t="s">
        <v>121</v>
      </c>
      <c r="B10" s="113">
        <f>'Table 3.11-Form3547 Costs'!L54</f>
        <v>9.4959458353810838E-2</v>
      </c>
      <c r="C10" s="231" t="s">
        <v>236</v>
      </c>
      <c r="D10" s="84"/>
      <c r="E10" s="228"/>
      <c r="F10" s="179"/>
    </row>
    <row r="11" spans="1:6" x14ac:dyDescent="0.25">
      <c r="A11" s="180" t="s">
        <v>122</v>
      </c>
      <c r="B11" s="113">
        <f>'Table 3.11-Form3547 Costs'!L55</f>
        <v>0.98041877964820134</v>
      </c>
      <c r="C11" s="231" t="s">
        <v>236</v>
      </c>
      <c r="D11" s="178"/>
      <c r="E11" s="227"/>
      <c r="F11" s="179"/>
    </row>
    <row r="12" spans="1:6" x14ac:dyDescent="0.25">
      <c r="A12" s="180" t="s">
        <v>123</v>
      </c>
      <c r="B12" s="113">
        <f>'Table 3.11-Form3547 Costs'!L56</f>
        <v>3.1598772892371743E-2</v>
      </c>
      <c r="C12" s="231" t="s">
        <v>236</v>
      </c>
      <c r="D12" s="178"/>
      <c r="E12" s="227"/>
      <c r="F12" s="179"/>
    </row>
    <row r="13" spans="1:6" ht="13" x14ac:dyDescent="0.3">
      <c r="A13" s="181" t="s">
        <v>102</v>
      </c>
      <c r="B13" s="114">
        <f>SUM(B8:B12)</f>
        <v>1.1311921086187438</v>
      </c>
      <c r="C13" s="114"/>
      <c r="D13" s="186">
        <f>'Table 3.37-Notice Inputs'!B12</f>
        <v>0.68769396503390701</v>
      </c>
      <c r="E13" s="232" t="s">
        <v>238</v>
      </c>
      <c r="F13" s="183">
        <f>B13*D13</f>
        <v>0.77791398639108988</v>
      </c>
    </row>
    <row r="14" spans="1:6" x14ac:dyDescent="0.25">
      <c r="A14" s="184"/>
      <c r="B14" s="113"/>
      <c r="C14" s="113"/>
      <c r="D14" s="182"/>
      <c r="E14" s="229"/>
      <c r="F14" s="185"/>
    </row>
    <row r="15" spans="1:6" ht="13" x14ac:dyDescent="0.3">
      <c r="A15" s="176" t="s">
        <v>114</v>
      </c>
      <c r="B15" s="113"/>
      <c r="C15" s="113"/>
      <c r="D15" s="182"/>
      <c r="E15" s="229"/>
      <c r="F15" s="185"/>
    </row>
    <row r="16" spans="1:6" x14ac:dyDescent="0.25">
      <c r="A16" s="235" t="s">
        <v>455</v>
      </c>
      <c r="B16" s="113">
        <f>'Table 3.11-Form3547 Costs'!L60</f>
        <v>8.6819573021055294E-2</v>
      </c>
      <c r="C16" s="231" t="s">
        <v>236</v>
      </c>
      <c r="D16" s="182"/>
      <c r="E16" s="229"/>
      <c r="F16" s="185"/>
    </row>
    <row r="17" spans="1:6" x14ac:dyDescent="0.25">
      <c r="A17" s="235" t="s">
        <v>318</v>
      </c>
      <c r="B17" s="113">
        <f>'Table 3.11-Form3547 Costs'!L61</f>
        <v>9.2765357248710788E-3</v>
      </c>
      <c r="C17" s="231" t="s">
        <v>236</v>
      </c>
      <c r="D17" s="182"/>
      <c r="E17" s="229"/>
      <c r="F17" s="185"/>
    </row>
    <row r="18" spans="1:6" x14ac:dyDescent="0.25">
      <c r="A18" s="180" t="s">
        <v>121</v>
      </c>
      <c r="B18" s="113">
        <f>'Table 3.11-Form3547 Costs'!L62</f>
        <v>0.11058769824830324</v>
      </c>
      <c r="C18" s="231" t="s">
        <v>236</v>
      </c>
      <c r="D18" s="182"/>
      <c r="E18" s="229"/>
      <c r="F18" s="185"/>
    </row>
    <row r="19" spans="1:6" x14ac:dyDescent="0.25">
      <c r="A19" s="180" t="s">
        <v>122</v>
      </c>
      <c r="B19" s="113">
        <f>'Table 3.11-Form3547 Costs'!L63</f>
        <v>1.2941946255037695</v>
      </c>
      <c r="C19" s="231" t="s">
        <v>236</v>
      </c>
      <c r="D19" s="182"/>
      <c r="E19" s="229"/>
      <c r="F19" s="185"/>
    </row>
    <row r="20" spans="1:6" x14ac:dyDescent="0.25">
      <c r="A20" s="180" t="s">
        <v>123</v>
      </c>
      <c r="B20" s="113">
        <f>'Table 3.11-Form3547 Costs'!L64</f>
        <v>3.1177324216879868E-2</v>
      </c>
      <c r="C20" s="231" t="s">
        <v>236</v>
      </c>
      <c r="D20" s="182"/>
      <c r="E20" s="229"/>
      <c r="F20" s="185"/>
    </row>
    <row r="21" spans="1:6" ht="13" x14ac:dyDescent="0.3">
      <c r="A21" s="176" t="s">
        <v>102</v>
      </c>
      <c r="B21" s="114">
        <f>SUM(B16:B20)</f>
        <v>1.5320557567148789</v>
      </c>
      <c r="C21" s="114"/>
      <c r="D21" s="186">
        <f>'Table 3.37-Notice Inputs'!B13</f>
        <v>9.6175030318404617E-2</v>
      </c>
      <c r="E21" s="232" t="s">
        <v>238</v>
      </c>
      <c r="F21" s="183">
        <f>B21*D21</f>
        <v>0.1473455088515398</v>
      </c>
    </row>
    <row r="22" spans="1:6" x14ac:dyDescent="0.25">
      <c r="A22" s="184"/>
      <c r="B22" s="113"/>
      <c r="C22" s="113"/>
      <c r="D22" s="186"/>
      <c r="E22" s="229"/>
      <c r="F22" s="185"/>
    </row>
    <row r="23" spans="1:6" ht="13" x14ac:dyDescent="0.3">
      <c r="A23" s="176" t="s">
        <v>124</v>
      </c>
      <c r="B23" s="113"/>
      <c r="C23" s="113"/>
      <c r="D23" s="186">
        <f>1-D13-D21</f>
        <v>0.21613100464768836</v>
      </c>
      <c r="E23" s="232" t="s">
        <v>238</v>
      </c>
      <c r="F23" s="183">
        <v>0</v>
      </c>
    </row>
    <row r="24" spans="1:6" x14ac:dyDescent="0.25">
      <c r="A24" s="184"/>
      <c r="B24" s="113"/>
      <c r="C24" s="113"/>
      <c r="D24" s="186"/>
      <c r="E24" s="230"/>
      <c r="F24" s="185"/>
    </row>
    <row r="25" spans="1:6" ht="13" x14ac:dyDescent="0.3">
      <c r="A25" s="176" t="s">
        <v>125</v>
      </c>
      <c r="B25" s="113"/>
      <c r="C25" s="113"/>
      <c r="D25" s="186">
        <f>SUM(D13,D21,D23)</f>
        <v>1</v>
      </c>
      <c r="E25" s="229"/>
      <c r="F25" s="187">
        <f>SUM(F13:F23)</f>
        <v>0.92525949524262963</v>
      </c>
    </row>
    <row r="26" spans="1:6" x14ac:dyDescent="0.25">
      <c r="A26" s="184"/>
      <c r="B26" s="113"/>
      <c r="C26" s="113"/>
      <c r="D26" s="186"/>
      <c r="E26" s="229"/>
      <c r="F26" s="185"/>
    </row>
    <row r="27" spans="1:6" ht="13" x14ac:dyDescent="0.3">
      <c r="A27" s="176" t="s">
        <v>126</v>
      </c>
      <c r="B27" s="113"/>
      <c r="C27" s="113"/>
      <c r="D27" s="186"/>
      <c r="E27" s="229"/>
      <c r="F27" s="185"/>
    </row>
    <row r="28" spans="1:6" x14ac:dyDescent="0.25">
      <c r="A28" s="235" t="s">
        <v>455</v>
      </c>
      <c r="B28" s="113">
        <f>'Table 3.12-Form3579 Costs'!L7</f>
        <v>0.60173979261052557</v>
      </c>
      <c r="C28" s="231" t="s">
        <v>239</v>
      </c>
      <c r="D28" s="186"/>
      <c r="E28" s="229"/>
      <c r="F28" s="185"/>
    </row>
    <row r="29" spans="1:6" x14ac:dyDescent="0.25">
      <c r="A29" s="235" t="s">
        <v>318</v>
      </c>
      <c r="B29" s="113">
        <f>'Table 3.12-Form3579 Costs'!L8</f>
        <v>0.42201423510463237</v>
      </c>
      <c r="C29" s="231" t="s">
        <v>239</v>
      </c>
      <c r="D29" s="186"/>
      <c r="E29" s="229"/>
      <c r="F29" s="185"/>
    </row>
    <row r="30" spans="1:6" x14ac:dyDescent="0.25">
      <c r="A30" s="180" t="s">
        <v>121</v>
      </c>
      <c r="B30" s="113">
        <f>'Table 3.12-Form3579 Costs'!L9</f>
        <v>4.9951333157354484E-2</v>
      </c>
      <c r="C30" s="231" t="s">
        <v>239</v>
      </c>
      <c r="D30" s="186"/>
      <c r="E30" s="229"/>
      <c r="F30" s="185"/>
    </row>
    <row r="31" spans="1:6" x14ac:dyDescent="0.25">
      <c r="A31" s="180" t="s">
        <v>122</v>
      </c>
      <c r="B31" s="113">
        <f>'Table 3.12-Form3579 Costs'!L10</f>
        <v>0.21075464249897838</v>
      </c>
      <c r="C31" s="231" t="s">
        <v>239</v>
      </c>
      <c r="D31" s="186"/>
      <c r="E31" s="229"/>
      <c r="F31" s="185"/>
    </row>
    <row r="32" spans="1:6" x14ac:dyDescent="0.25">
      <c r="A32" s="180" t="s">
        <v>123</v>
      </c>
      <c r="B32" s="113">
        <f>'Table 3.12-Form3579 Costs'!L11</f>
        <v>3.8070594826058392E-3</v>
      </c>
      <c r="C32" s="231" t="s">
        <v>239</v>
      </c>
      <c r="D32" s="186"/>
      <c r="E32" s="229"/>
      <c r="F32" s="185"/>
    </row>
    <row r="33" spans="1:6" ht="13" x14ac:dyDescent="0.3">
      <c r="A33" s="176" t="s">
        <v>127</v>
      </c>
      <c r="B33" s="114">
        <f>SUM(B28:B32)</f>
        <v>1.2882670628540966</v>
      </c>
      <c r="C33" s="114"/>
      <c r="D33" s="186">
        <v>1</v>
      </c>
      <c r="E33" s="229"/>
      <c r="F33" s="183">
        <f>B33*D33</f>
        <v>1.2882670628540966</v>
      </c>
    </row>
    <row r="34" spans="1:6" x14ac:dyDescent="0.25">
      <c r="A34" s="180"/>
      <c r="B34" s="113"/>
      <c r="C34" s="113"/>
      <c r="D34" s="178"/>
      <c r="E34" s="227"/>
      <c r="F34" s="185"/>
    </row>
    <row r="35" spans="1:6" ht="13" x14ac:dyDescent="0.3">
      <c r="A35" s="418" t="s">
        <v>10</v>
      </c>
      <c r="B35" s="189"/>
      <c r="C35" s="189"/>
      <c r="D35" s="190"/>
      <c r="E35" s="190"/>
      <c r="F35" s="191">
        <f>(F25*'Table 3.37-Notice Inputs'!B17+F33*'Table 3.37-Notice Inputs'!B21)/SUM('Table 3.37-Notice Inputs'!B17,'Table 3.37-Notice Inputs'!B21)</f>
        <v>0.98736050536634856</v>
      </c>
    </row>
    <row r="36" spans="1:6" hidden="1" x14ac:dyDescent="0.25">
      <c r="B36" s="27"/>
      <c r="C36" s="27"/>
      <c r="D36" s="27"/>
      <c r="E36" s="27"/>
    </row>
    <row r="37" spans="1:6" hidden="1" x14ac:dyDescent="0.25">
      <c r="B37" s="27"/>
      <c r="C37" s="27"/>
      <c r="D37" s="27"/>
      <c r="E37" s="243" t="s">
        <v>188</v>
      </c>
      <c r="F37" s="105">
        <f>F25-'Table 3.11-Form3547 Costs'!P69</f>
        <v>0</v>
      </c>
    </row>
    <row r="38" spans="1:6" hidden="1" x14ac:dyDescent="0.25">
      <c r="B38" s="27"/>
      <c r="C38" s="27"/>
      <c r="D38" s="27"/>
      <c r="E38" s="243" t="s">
        <v>188</v>
      </c>
      <c r="F38" s="105">
        <f>F33-'Table 3.12-Form3579 Costs'!P12</f>
        <v>0</v>
      </c>
    </row>
    <row r="39" spans="1:6" hidden="1" x14ac:dyDescent="0.25">
      <c r="B39" s="27"/>
      <c r="C39" s="27"/>
      <c r="D39" s="27"/>
      <c r="E39" s="243" t="s">
        <v>188</v>
      </c>
      <c r="F39" s="105">
        <f>F35-'Table 3.1-UAA Summary'!M58</f>
        <v>0</v>
      </c>
    </row>
    <row r="40" spans="1:6" x14ac:dyDescent="0.25">
      <c r="A40" s="204"/>
      <c r="B40" s="233"/>
      <c r="C40" s="233"/>
      <c r="D40" s="27"/>
      <c r="E40" s="27"/>
    </row>
    <row r="41" spans="1:6" x14ac:dyDescent="0.25">
      <c r="A41" t="s">
        <v>235</v>
      </c>
      <c r="B41" s="27"/>
      <c r="C41" s="27"/>
      <c r="D41" s="27"/>
      <c r="E41" s="27"/>
    </row>
    <row r="42" spans="1:6" x14ac:dyDescent="0.25">
      <c r="A42" s="11" t="s">
        <v>480</v>
      </c>
      <c r="B42" s="27"/>
      <c r="C42" s="27"/>
      <c r="D42" s="27"/>
      <c r="E42" s="27"/>
    </row>
    <row r="43" spans="1:6" x14ac:dyDescent="0.25">
      <c r="A43" s="11" t="s">
        <v>707</v>
      </c>
      <c r="B43" s="27"/>
      <c r="C43" s="27"/>
      <c r="D43" s="27"/>
      <c r="E43" s="27"/>
    </row>
    <row r="44" spans="1:6" x14ac:dyDescent="0.25">
      <c r="A44" s="11" t="s">
        <v>668</v>
      </c>
    </row>
  </sheetData>
  <phoneticPr fontId="0" type="noConversion"/>
  <printOptions horizontalCentered="1"/>
  <pageMargins left="0.75" right="0.75" top="1" bottom="1" header="0.5" footer="0.5"/>
  <pageSetup scale="92" orientation="landscape" r:id="rId1"/>
  <headerFooter alignWithMargins="0">
    <oddFooter>&amp;L&amp;F</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0">
    <pageSetUpPr fitToPage="1"/>
  </sheetPr>
  <dimension ref="A1:M34"/>
  <sheetViews>
    <sheetView zoomScale="70" workbookViewId="0"/>
  </sheetViews>
  <sheetFormatPr defaultRowHeight="12.5" x14ac:dyDescent="0.25"/>
  <cols>
    <col min="1" max="1" width="25.36328125" customWidth="1"/>
    <col min="2" max="5" width="10.6328125" customWidth="1"/>
    <col min="6" max="6" width="3.6328125" customWidth="1"/>
    <col min="7" max="9" width="10.6328125" customWidth="1"/>
    <col min="10" max="10" width="3.6328125" customWidth="1"/>
    <col min="11" max="13" width="10.6328125" customWidth="1"/>
  </cols>
  <sheetData>
    <row r="1" spans="1:13" ht="15.5" x14ac:dyDescent="0.35">
      <c r="A1" s="117" t="s">
        <v>721</v>
      </c>
    </row>
    <row r="2" spans="1:13" ht="15.5" x14ac:dyDescent="0.35">
      <c r="A2" s="117" t="s">
        <v>787</v>
      </c>
    </row>
    <row r="4" spans="1:13" x14ac:dyDescent="0.25">
      <c r="B4" s="358" t="s">
        <v>574</v>
      </c>
      <c r="C4" s="295"/>
      <c r="D4" s="295"/>
      <c r="E4" s="296"/>
      <c r="G4" s="358" t="s">
        <v>479</v>
      </c>
      <c r="H4" s="295"/>
      <c r="I4" s="296"/>
      <c r="K4" s="358" t="s">
        <v>269</v>
      </c>
      <c r="L4" s="295"/>
      <c r="M4" s="296"/>
    </row>
    <row r="5" spans="1:13" x14ac:dyDescent="0.25">
      <c r="B5" s="360" t="s">
        <v>460</v>
      </c>
      <c r="C5" s="13" t="s">
        <v>459</v>
      </c>
      <c r="D5" s="13" t="s">
        <v>460</v>
      </c>
      <c r="E5" s="361" t="s">
        <v>461</v>
      </c>
      <c r="G5" s="360"/>
      <c r="H5" s="13"/>
      <c r="I5" s="361"/>
      <c r="K5" s="360"/>
      <c r="M5" s="179"/>
    </row>
    <row r="6" spans="1:13" x14ac:dyDescent="0.25">
      <c r="A6" s="204" t="s">
        <v>396</v>
      </c>
      <c r="B6" s="359" t="s">
        <v>462</v>
      </c>
      <c r="C6" s="343" t="s">
        <v>463</v>
      </c>
      <c r="D6" s="343" t="s">
        <v>464</v>
      </c>
      <c r="E6" s="294" t="s">
        <v>464</v>
      </c>
      <c r="G6" s="356" t="s">
        <v>147</v>
      </c>
      <c r="H6" s="343" t="s">
        <v>344</v>
      </c>
      <c r="I6" s="294" t="s">
        <v>102</v>
      </c>
      <c r="K6" s="356" t="s">
        <v>147</v>
      </c>
      <c r="L6" s="343" t="s">
        <v>344</v>
      </c>
      <c r="M6" s="294" t="s">
        <v>102</v>
      </c>
    </row>
    <row r="7" spans="1:13" ht="13" x14ac:dyDescent="0.3">
      <c r="A7" s="5" t="s">
        <v>465</v>
      </c>
    </row>
    <row r="8" spans="1:13" x14ac:dyDescent="0.25">
      <c r="A8" s="258" t="s">
        <v>408</v>
      </c>
      <c r="B8" s="6">
        <v>196950.25</v>
      </c>
      <c r="C8" s="6">
        <v>2954.2537500000003</v>
      </c>
      <c r="D8" s="6">
        <v>75949.432531874991</v>
      </c>
      <c r="E8" s="6">
        <v>118046.56371812499</v>
      </c>
      <c r="F8" s="6"/>
      <c r="G8" s="6">
        <v>0</v>
      </c>
      <c r="H8" s="6">
        <v>40765.671579011672</v>
      </c>
      <c r="I8" s="6">
        <f>SUM(G8:H8)</f>
        <v>40765.671579011672</v>
      </c>
      <c r="J8" s="6"/>
      <c r="K8" s="6">
        <f>B8+G8</f>
        <v>196950.25</v>
      </c>
      <c r="L8" s="6">
        <f>H8</f>
        <v>40765.671579011672</v>
      </c>
      <c r="M8" s="6">
        <f>SUM(K8:L8)</f>
        <v>237715.92157901166</v>
      </c>
    </row>
    <row r="9" spans="1:13" x14ac:dyDescent="0.25">
      <c r="A9" s="258" t="s">
        <v>407</v>
      </c>
      <c r="B9" s="6">
        <v>629232.08412147523</v>
      </c>
      <c r="C9" s="6">
        <v>31461.60420607376</v>
      </c>
      <c r="D9" s="6">
        <v>234027.14288687968</v>
      </c>
      <c r="E9" s="6">
        <v>363743.33702852181</v>
      </c>
      <c r="F9" s="6"/>
      <c r="G9" s="6">
        <v>0</v>
      </c>
      <c r="H9" s="6">
        <v>50462.616010873338</v>
      </c>
      <c r="I9" s="6">
        <f>SUM(G9:H9)</f>
        <v>50462.616010873338</v>
      </c>
      <c r="J9" s="6"/>
      <c r="K9" s="6">
        <f>B9+G9</f>
        <v>629232.08412147523</v>
      </c>
      <c r="L9" s="6">
        <f>H9</f>
        <v>50462.616010873338</v>
      </c>
      <c r="M9" s="6">
        <f>SUM(K9:L9)</f>
        <v>679694.70013234857</v>
      </c>
    </row>
    <row r="10" spans="1:13" x14ac:dyDescent="0.25">
      <c r="A10" s="258" t="s">
        <v>102</v>
      </c>
      <c r="B10" s="6">
        <f>SUM(B8:B9)</f>
        <v>826182.33412147523</v>
      </c>
      <c r="C10" s="6">
        <f>SUM(C8:C9)</f>
        <v>34415.857956073763</v>
      </c>
      <c r="D10" s="6">
        <f>SUM(D8:D9)</f>
        <v>309976.57541875466</v>
      </c>
      <c r="E10" s="6">
        <f>SUM(E8:E9)</f>
        <v>481789.9007466468</v>
      </c>
      <c r="F10" s="6"/>
      <c r="G10" s="6">
        <f>SUM(G8:G9)</f>
        <v>0</v>
      </c>
      <c r="H10" s="6">
        <f>SUM(H8:H9)</f>
        <v>91228.287589885003</v>
      </c>
      <c r="I10" s="6">
        <f>SUM(I8:I9)</f>
        <v>91228.287589885003</v>
      </c>
      <c r="J10" s="6"/>
      <c r="K10" s="6">
        <f>SUM(K8:K9)</f>
        <v>826182.33412147523</v>
      </c>
      <c r="L10" s="6">
        <f>SUM(L8:L9)</f>
        <v>91228.287589885003</v>
      </c>
      <c r="M10" s="6">
        <f>SUM(M8:M9)</f>
        <v>917410.62171136029</v>
      </c>
    </row>
    <row r="11" spans="1:13" x14ac:dyDescent="0.25">
      <c r="B11" s="6"/>
      <c r="C11" s="6"/>
      <c r="D11" s="6"/>
      <c r="E11" s="6"/>
      <c r="F11" s="6"/>
      <c r="G11" s="6"/>
      <c r="H11" s="6"/>
      <c r="I11" s="6"/>
      <c r="J11" s="6"/>
      <c r="K11" s="6"/>
    </row>
    <row r="12" spans="1:13" ht="13" x14ac:dyDescent="0.3">
      <c r="A12" s="5" t="s">
        <v>276</v>
      </c>
      <c r="B12" s="6">
        <v>0</v>
      </c>
      <c r="C12" s="6">
        <v>0</v>
      </c>
      <c r="D12" s="6">
        <v>0</v>
      </c>
      <c r="E12" s="6">
        <v>0</v>
      </c>
      <c r="F12" s="6"/>
      <c r="G12" s="6">
        <v>33392.342392588303</v>
      </c>
      <c r="H12" s="6">
        <v>2709.8274997471422</v>
      </c>
      <c r="I12" s="6">
        <f>SUM(G12:H12)</f>
        <v>36102.169892335449</v>
      </c>
      <c r="J12" s="6"/>
      <c r="K12" s="6">
        <f>B12+G12</f>
        <v>33392.342392588303</v>
      </c>
      <c r="L12" s="6">
        <f>H12</f>
        <v>2709.8274997471422</v>
      </c>
      <c r="M12" s="6">
        <f>SUM(K12:L12)</f>
        <v>36102.169892335449</v>
      </c>
    </row>
    <row r="13" spans="1:13" x14ac:dyDescent="0.25">
      <c r="B13" s="6"/>
      <c r="C13" s="6"/>
      <c r="D13" s="6"/>
      <c r="E13" s="6"/>
      <c r="F13" s="6"/>
      <c r="G13" s="6"/>
      <c r="H13" s="6"/>
      <c r="I13" s="6"/>
      <c r="J13" s="6"/>
      <c r="K13" s="6"/>
    </row>
    <row r="14" spans="1:13" ht="13" x14ac:dyDescent="0.3">
      <c r="A14" s="5" t="s">
        <v>466</v>
      </c>
      <c r="B14" s="6"/>
      <c r="C14" s="6"/>
      <c r="D14" s="6"/>
      <c r="E14" s="6"/>
      <c r="F14" s="6"/>
      <c r="G14" s="6"/>
      <c r="H14" s="6"/>
      <c r="I14" s="6"/>
      <c r="J14" s="6"/>
      <c r="K14" s="6"/>
    </row>
    <row r="15" spans="1:13" x14ac:dyDescent="0.25">
      <c r="A15" s="258" t="s">
        <v>408</v>
      </c>
      <c r="B15" s="6">
        <v>398446.60288367956</v>
      </c>
      <c r="C15" s="6">
        <v>5976.6990432551929</v>
      </c>
      <c r="D15" s="6">
        <v>156772.70660130799</v>
      </c>
      <c r="E15" s="6">
        <v>235697.19723911639</v>
      </c>
      <c r="F15" s="6"/>
      <c r="G15" s="6">
        <v>0</v>
      </c>
      <c r="H15" s="6">
        <v>38291.915393285417</v>
      </c>
      <c r="I15" s="6">
        <f>SUM(G15:H15)</f>
        <v>38291.915393285417</v>
      </c>
      <c r="J15" s="6"/>
      <c r="K15" s="6">
        <f>B15+G15</f>
        <v>398446.60288367956</v>
      </c>
      <c r="L15" s="6">
        <f>H15</f>
        <v>38291.915393285417</v>
      </c>
      <c r="M15" s="6">
        <f>SUM(K15:L15)</f>
        <v>436738.51827696495</v>
      </c>
    </row>
    <row r="16" spans="1:13" x14ac:dyDescent="0.25">
      <c r="A16" s="258" t="s">
        <v>407</v>
      </c>
      <c r="B16" s="6">
        <v>861475.10446832771</v>
      </c>
      <c r="C16" s="6">
        <v>43073.755223416396</v>
      </c>
      <c r="D16" s="6">
        <v>327180.08316083672</v>
      </c>
      <c r="E16" s="6">
        <v>491221.2660840748</v>
      </c>
      <c r="F16" s="6"/>
      <c r="G16" s="6">
        <v>14895.471701904466</v>
      </c>
      <c r="H16" s="6">
        <v>26742.141260604672</v>
      </c>
      <c r="I16" s="6">
        <f>SUM(G16:H16)</f>
        <v>41637.612962509142</v>
      </c>
      <c r="J16" s="6"/>
      <c r="K16" s="6">
        <f>B16+G16</f>
        <v>876370.57617023215</v>
      </c>
      <c r="L16" s="6">
        <f>H16</f>
        <v>26742.141260604672</v>
      </c>
      <c r="M16" s="6">
        <f>SUM(K16:L16)</f>
        <v>903112.71743083687</v>
      </c>
    </row>
    <row r="17" spans="1:13" x14ac:dyDescent="0.25">
      <c r="A17" s="258" t="s">
        <v>102</v>
      </c>
      <c r="B17" s="6">
        <f>SUM(B15:B16)</f>
        <v>1259921.7073520073</v>
      </c>
      <c r="C17" s="6">
        <f>SUM(C15:C16)</f>
        <v>49050.454266671586</v>
      </c>
      <c r="D17" s="6">
        <f>SUM(D15:D16)</f>
        <v>483952.78976214468</v>
      </c>
      <c r="E17" s="6">
        <f>SUM(E15:E16)</f>
        <v>726918.46332319116</v>
      </c>
      <c r="F17" s="6"/>
      <c r="G17" s="6">
        <f>SUM(G15:G16)</f>
        <v>14895.471701904466</v>
      </c>
      <c r="H17" s="6">
        <f>SUM(H15:H16)</f>
        <v>65034.056653890089</v>
      </c>
      <c r="I17" s="6">
        <f>SUM(I15:I16)</f>
        <v>79929.528355794551</v>
      </c>
      <c r="J17" s="6"/>
      <c r="K17" s="6">
        <f>SUM(K15:K16)</f>
        <v>1274817.1790539117</v>
      </c>
      <c r="L17" s="6">
        <f>SUM(L15:L16)</f>
        <v>65034.056653890089</v>
      </c>
      <c r="M17" s="6">
        <f>SUM(M15:M16)</f>
        <v>1339851.2357078018</v>
      </c>
    </row>
    <row r="18" spans="1:13" x14ac:dyDescent="0.25">
      <c r="B18" s="6"/>
      <c r="C18" s="6"/>
      <c r="D18" s="6"/>
      <c r="E18" s="6"/>
      <c r="F18" s="6"/>
      <c r="G18" s="6"/>
      <c r="H18" s="6"/>
      <c r="I18" s="6"/>
      <c r="J18" s="6"/>
      <c r="K18" s="6"/>
    </row>
    <row r="19" spans="1:13" ht="13" x14ac:dyDescent="0.3">
      <c r="A19" s="16" t="s">
        <v>467</v>
      </c>
      <c r="B19" s="6"/>
      <c r="C19" s="6"/>
      <c r="D19" s="6"/>
      <c r="E19" s="6"/>
      <c r="F19" s="6"/>
      <c r="G19" s="6"/>
      <c r="H19" s="6"/>
      <c r="I19" s="6"/>
      <c r="J19" s="6"/>
      <c r="K19" s="6"/>
    </row>
    <row r="20" spans="1:13" x14ac:dyDescent="0.25">
      <c r="A20" s="258" t="s">
        <v>408</v>
      </c>
      <c r="B20" s="6">
        <v>0</v>
      </c>
      <c r="C20" s="6">
        <v>0</v>
      </c>
      <c r="D20" s="6">
        <v>0</v>
      </c>
      <c r="E20" s="6">
        <v>0</v>
      </c>
      <c r="F20" s="6"/>
      <c r="G20" s="6">
        <v>0</v>
      </c>
      <c r="H20" s="6">
        <v>0</v>
      </c>
      <c r="I20" s="6">
        <f>SUM(G20:H20)</f>
        <v>0</v>
      </c>
      <c r="J20" s="6"/>
      <c r="K20" s="6">
        <f>B20+G20</f>
        <v>0</v>
      </c>
      <c r="L20" s="6">
        <f>H20</f>
        <v>0</v>
      </c>
      <c r="M20" s="6">
        <f>SUM(K20:L20)</f>
        <v>0</v>
      </c>
    </row>
    <row r="21" spans="1:13" x14ac:dyDescent="0.25">
      <c r="A21" s="258" t="s">
        <v>407</v>
      </c>
      <c r="B21" s="6">
        <v>465761.33252651728</v>
      </c>
      <c r="C21" s="6">
        <v>23288.066626325864</v>
      </c>
      <c r="D21" s="6">
        <v>176989.30636007659</v>
      </c>
      <c r="E21" s="6">
        <v>265483.95954011485</v>
      </c>
      <c r="F21" s="6"/>
      <c r="G21" s="6">
        <v>1302789.0822836638</v>
      </c>
      <c r="H21" s="6">
        <v>308935.58633543394</v>
      </c>
      <c r="I21" s="6">
        <f>SUM(G21:H21)</f>
        <v>1611724.6686190977</v>
      </c>
      <c r="J21" s="6"/>
      <c r="K21" s="6">
        <f>B21+G21</f>
        <v>1768550.4148101811</v>
      </c>
      <c r="L21" s="6">
        <f>H21</f>
        <v>308935.58633543394</v>
      </c>
      <c r="M21" s="6">
        <f>SUM(K21:L21)</f>
        <v>2077486.001145615</v>
      </c>
    </row>
    <row r="22" spans="1:13" x14ac:dyDescent="0.25">
      <c r="A22" s="258" t="s">
        <v>102</v>
      </c>
      <c r="B22" s="6">
        <f>SUM(B20:B21)</f>
        <v>465761.33252651728</v>
      </c>
      <c r="C22" s="6">
        <f>SUM(C20:C21)</f>
        <v>23288.066626325864</v>
      </c>
      <c r="D22" s="6">
        <f>SUM(D20:D21)</f>
        <v>176989.30636007659</v>
      </c>
      <c r="E22" s="6">
        <f>SUM(E20:E21)</f>
        <v>265483.95954011485</v>
      </c>
      <c r="F22" s="6"/>
      <c r="G22" s="6">
        <f>SUM(G20:G21)</f>
        <v>1302789.0822836638</v>
      </c>
      <c r="H22" s="6">
        <f>SUM(H20:H21)</f>
        <v>308935.58633543394</v>
      </c>
      <c r="I22" s="6">
        <f>SUM(I20:I21)</f>
        <v>1611724.6686190977</v>
      </c>
      <c r="J22" s="6"/>
      <c r="K22" s="6">
        <f>SUM(K20:K21)</f>
        <v>1768550.4148101811</v>
      </c>
      <c r="L22" s="6">
        <f>SUM(L20:L21)</f>
        <v>308935.58633543394</v>
      </c>
      <c r="M22" s="6">
        <f>SUM(M20:M21)</f>
        <v>2077486.001145615</v>
      </c>
    </row>
    <row r="23" spans="1:13" x14ac:dyDescent="0.25">
      <c r="B23" s="6"/>
      <c r="C23" s="6"/>
      <c r="D23" s="6"/>
      <c r="E23" s="6"/>
      <c r="F23" s="6"/>
      <c r="G23" s="6"/>
      <c r="H23" s="6"/>
      <c r="I23" s="6"/>
      <c r="J23" s="6"/>
      <c r="K23" s="6"/>
    </row>
    <row r="24" spans="1:13" ht="13" x14ac:dyDescent="0.3">
      <c r="A24" s="5" t="s">
        <v>419</v>
      </c>
      <c r="B24" s="6">
        <f>SUM(B10,B12,B17,B22)</f>
        <v>2551865.3739999998</v>
      </c>
      <c r="C24" s="6">
        <f>SUM(C10,C12,C17,C22)</f>
        <v>106754.37884907122</v>
      </c>
      <c r="D24" s="6">
        <f>SUM(D10,D12,D17,D22)</f>
        <v>970918.67154097604</v>
      </c>
      <c r="E24" s="6">
        <f>SUM(E10,E12,E17,E22)</f>
        <v>1474192.3236099528</v>
      </c>
      <c r="F24" s="6"/>
      <c r="G24" s="6">
        <f>SUM(G10,G12,G17,G22)</f>
        <v>1351076.8963781565</v>
      </c>
      <c r="H24" s="6">
        <f>SUM(H10,H12,H17,H22)</f>
        <v>467907.75807895616</v>
      </c>
      <c r="I24" s="6">
        <f>SUM(I10,I12,I17,I22)</f>
        <v>1818984.6544571128</v>
      </c>
      <c r="J24" s="6"/>
      <c r="K24" s="6">
        <f>SUM(K10,K12,K17,K22)</f>
        <v>3902942.2703781561</v>
      </c>
      <c r="L24" s="6">
        <f>SUM(L10,L12,L17,L22)</f>
        <v>467907.75807895616</v>
      </c>
      <c r="M24" s="6">
        <f>SUM(M10,M12,M17,M22)</f>
        <v>4370850.0284571126</v>
      </c>
    </row>
    <row r="25" spans="1:13" hidden="1" x14ac:dyDescent="0.25"/>
    <row r="26" spans="1:13" hidden="1" x14ac:dyDescent="0.25">
      <c r="A26" t="s">
        <v>191</v>
      </c>
      <c r="C26" s="105">
        <f>C8-'Table 3.19-CFS UAA'!B47</f>
        <v>0</v>
      </c>
      <c r="G26" s="105">
        <f>G12-SUM('Table 3.30-UAA MP Cost'!B11:B12)</f>
        <v>0</v>
      </c>
      <c r="H26" s="105">
        <v>0</v>
      </c>
    </row>
    <row r="27" spans="1:13" hidden="1" x14ac:dyDescent="0.25">
      <c r="C27" s="105">
        <f>C9-'Table 3.19-CFS UAA'!B46+'Table 3.19-CFS UAA'!B47</f>
        <v>-3.637978807091713E-12</v>
      </c>
      <c r="G27" s="105">
        <f>G17-SUM('Table 3.30-UAA MP Cost'!B27:B28)</f>
        <v>0</v>
      </c>
      <c r="H27" s="105">
        <v>0</v>
      </c>
    </row>
    <row r="28" spans="1:13" hidden="1" x14ac:dyDescent="0.25">
      <c r="C28" s="105">
        <f>C15-'Table 3.19-CFS UAA'!B60</f>
        <v>0</v>
      </c>
      <c r="G28" s="105">
        <v>0</v>
      </c>
      <c r="H28" s="105">
        <v>0</v>
      </c>
    </row>
    <row r="29" spans="1:13" hidden="1" x14ac:dyDescent="0.25">
      <c r="C29" s="105">
        <f>C16-'Table 3.18-Nixie UAA'!D33</f>
        <v>0</v>
      </c>
      <c r="G29" s="6"/>
      <c r="H29" s="105">
        <v>0</v>
      </c>
    </row>
    <row r="30" spans="1:13" hidden="1" x14ac:dyDescent="0.25">
      <c r="B30" s="105">
        <f>B24-'Table 3.23-CIOSS Summary'!C14</f>
        <v>0</v>
      </c>
      <c r="C30" s="105">
        <f>C21-'Table 3.18-Nixie UAA'!D37</f>
        <v>0</v>
      </c>
      <c r="D30" s="105">
        <f>D24-'Table 3.28-REC Volume'!G40</f>
        <v>0</v>
      </c>
      <c r="E30" s="105">
        <f>E24-'Table 3.28-REC Volume'!H40</f>
        <v>0</v>
      </c>
      <c r="G30" s="105">
        <v>0</v>
      </c>
      <c r="H30" s="105">
        <v>0</v>
      </c>
    </row>
    <row r="31" spans="1:13" x14ac:dyDescent="0.25">
      <c r="A31" s="204"/>
      <c r="B31" s="204"/>
      <c r="C31" s="204"/>
      <c r="D31" s="204"/>
    </row>
    <row r="32" spans="1:13" x14ac:dyDescent="0.25">
      <c r="A32" t="s">
        <v>235</v>
      </c>
    </row>
    <row r="33" spans="1:1" x14ac:dyDescent="0.25">
      <c r="A33" s="11" t="s">
        <v>669</v>
      </c>
    </row>
    <row r="34" spans="1:1" x14ac:dyDescent="0.25">
      <c r="A34" t="s">
        <v>670</v>
      </c>
    </row>
  </sheetData>
  <phoneticPr fontId="5" type="noConversion"/>
  <printOptions horizontalCentered="1"/>
  <pageMargins left="0.75" right="0.75" top="1" bottom="1" header="0.5" footer="0.5"/>
  <pageSetup scale="89" orientation="landscape" r:id="rId1"/>
  <headerFooter alignWithMargins="0">
    <oddFooter>&amp;L&amp;F</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8">
    <pageSetUpPr fitToPage="1"/>
  </sheetPr>
  <dimension ref="A1:U46"/>
  <sheetViews>
    <sheetView zoomScale="70" workbookViewId="0"/>
  </sheetViews>
  <sheetFormatPr defaultRowHeight="12.5" x14ac:dyDescent="0.25"/>
  <cols>
    <col min="1" max="1" width="31.08984375" customWidth="1"/>
    <col min="2" max="2" width="10.6328125" customWidth="1"/>
    <col min="3" max="3" width="2.6328125" customWidth="1"/>
    <col min="4" max="4" width="10.08984375" customWidth="1"/>
    <col min="5" max="5" width="2.6328125" customWidth="1"/>
    <col min="6" max="6" width="12.54296875" customWidth="1"/>
    <col min="7" max="7" width="2.6328125" customWidth="1"/>
    <col min="8" max="8" width="10.6328125" customWidth="1"/>
    <col min="9" max="9" width="2.6328125" customWidth="1"/>
    <col min="10" max="10" width="10.08984375" customWidth="1"/>
    <col min="11" max="11" width="2.6328125" customWidth="1"/>
    <col min="12" max="12" width="12.54296875" customWidth="1"/>
    <col min="13" max="13" width="2.6328125" customWidth="1"/>
    <col min="14" max="14" width="10.6328125" customWidth="1"/>
    <col min="15" max="15" width="2.6328125" customWidth="1"/>
    <col min="16" max="16" width="10.08984375" customWidth="1"/>
    <col min="17" max="17" width="2.6328125" customWidth="1"/>
    <col min="18" max="18" width="12.54296875" customWidth="1"/>
  </cols>
  <sheetData>
    <row r="1" spans="1:18" ht="15.5" x14ac:dyDescent="0.35">
      <c r="A1" s="117" t="s">
        <v>766</v>
      </c>
      <c r="B1" s="5"/>
      <c r="C1" s="5"/>
      <c r="D1" s="5"/>
      <c r="E1" s="5"/>
      <c r="F1" s="5"/>
    </row>
    <row r="2" spans="1:18" ht="16" thickBot="1" x14ac:dyDescent="0.4">
      <c r="A2" s="117" t="s">
        <v>787</v>
      </c>
      <c r="B2" s="5"/>
      <c r="C2" s="5"/>
      <c r="D2" s="5"/>
      <c r="E2" s="5"/>
      <c r="F2" s="5"/>
    </row>
    <row r="3" spans="1:18" ht="13.5" thickBot="1" x14ac:dyDescent="0.35">
      <c r="A3" s="15"/>
      <c r="B3" s="316" t="s">
        <v>270</v>
      </c>
      <c r="C3" s="317"/>
      <c r="D3" s="317"/>
      <c r="E3" s="318"/>
      <c r="F3" s="319"/>
      <c r="H3" s="316" t="s">
        <v>147</v>
      </c>
      <c r="I3" s="317"/>
      <c r="J3" s="317"/>
      <c r="K3" s="318"/>
      <c r="L3" s="319"/>
      <c r="N3" s="316" t="s">
        <v>344</v>
      </c>
      <c r="O3" s="317"/>
      <c r="P3" s="317"/>
      <c r="Q3" s="318"/>
      <c r="R3" s="319"/>
    </row>
    <row r="4" spans="1:18" x14ac:dyDescent="0.25">
      <c r="B4" s="314" t="s">
        <v>128</v>
      </c>
      <c r="C4" s="20"/>
      <c r="D4" s="4"/>
      <c r="E4" s="4"/>
      <c r="F4" s="315" t="s">
        <v>117</v>
      </c>
      <c r="H4" s="314" t="s">
        <v>128</v>
      </c>
      <c r="I4" s="20"/>
      <c r="J4" s="4"/>
      <c r="K4" s="4"/>
      <c r="L4" s="315" t="s">
        <v>117</v>
      </c>
      <c r="N4" s="314" t="s">
        <v>128</v>
      </c>
      <c r="O4" s="20"/>
      <c r="P4" s="4"/>
      <c r="Q4" s="4"/>
      <c r="R4" s="315" t="s">
        <v>117</v>
      </c>
    </row>
    <row r="5" spans="1:18" x14ac:dyDescent="0.25">
      <c r="B5" s="156" t="s">
        <v>104</v>
      </c>
      <c r="C5" s="234"/>
      <c r="D5" s="116" t="s">
        <v>97</v>
      </c>
      <c r="E5" s="116"/>
      <c r="F5" s="158" t="s">
        <v>104</v>
      </c>
      <c r="H5" s="156" t="s">
        <v>104</v>
      </c>
      <c r="I5" s="234"/>
      <c r="J5" s="116" t="s">
        <v>97</v>
      </c>
      <c r="K5" s="116"/>
      <c r="L5" s="158" t="s">
        <v>104</v>
      </c>
      <c r="N5" s="156" t="s">
        <v>104</v>
      </c>
      <c r="O5" s="234"/>
      <c r="P5" s="116" t="s">
        <v>97</v>
      </c>
      <c r="Q5" s="116"/>
      <c r="R5" s="158" t="s">
        <v>104</v>
      </c>
    </row>
    <row r="6" spans="1:18" ht="13" x14ac:dyDescent="0.3">
      <c r="A6" s="320" t="s">
        <v>129</v>
      </c>
      <c r="B6" s="192"/>
      <c r="C6" s="192"/>
      <c r="D6" s="193"/>
      <c r="E6" s="193"/>
      <c r="F6" s="194"/>
      <c r="H6" s="192"/>
      <c r="I6" s="192"/>
      <c r="J6" s="193"/>
      <c r="K6" s="193"/>
      <c r="L6" s="194"/>
      <c r="N6" s="192"/>
      <c r="O6" s="192"/>
      <c r="P6" s="193"/>
      <c r="Q6" s="193"/>
      <c r="R6" s="194"/>
    </row>
    <row r="7" spans="1:18" x14ac:dyDescent="0.25">
      <c r="A7" s="313" t="s">
        <v>470</v>
      </c>
      <c r="B7" s="363"/>
      <c r="C7" s="363"/>
      <c r="D7" s="180"/>
      <c r="E7" s="180"/>
      <c r="F7" s="113"/>
      <c r="H7" s="363"/>
      <c r="I7" s="363"/>
      <c r="J7" s="180"/>
      <c r="K7" s="180"/>
      <c r="L7" s="113"/>
      <c r="N7" s="363"/>
      <c r="O7" s="363"/>
      <c r="P7" s="180"/>
      <c r="Q7" s="180"/>
      <c r="R7" s="113"/>
    </row>
    <row r="8" spans="1:18" x14ac:dyDescent="0.25">
      <c r="A8" s="364" t="s">
        <v>472</v>
      </c>
      <c r="B8" s="113">
        <v>0</v>
      </c>
      <c r="C8" s="231"/>
      <c r="D8" s="403">
        <v>0</v>
      </c>
      <c r="E8" s="231"/>
      <c r="F8" s="113">
        <f>B8*D8</f>
        <v>0</v>
      </c>
      <c r="H8" s="113">
        <v>0</v>
      </c>
      <c r="I8" s="231"/>
      <c r="J8" s="403">
        <v>0</v>
      </c>
      <c r="K8" s="231"/>
      <c r="L8" s="113">
        <f>H8*J8</f>
        <v>0</v>
      </c>
      <c r="N8" s="113">
        <v>0</v>
      </c>
      <c r="O8" s="231"/>
      <c r="P8" s="403">
        <v>0</v>
      </c>
      <c r="Q8" s="231"/>
      <c r="R8" s="113">
        <f>N8*P8</f>
        <v>0</v>
      </c>
    </row>
    <row r="9" spans="1:18" x14ac:dyDescent="0.25">
      <c r="A9" s="364" t="s">
        <v>473</v>
      </c>
      <c r="B9" s="113">
        <f>SUM('Table 3.19-CFS UAA'!J44,'Table 3.19-CFS UAA'!J13)/SUM('Table 3.19-CFS UAA'!B44,'Table 3.19-CFS UAA'!B13)</f>
        <v>0.57684969213305926</v>
      </c>
      <c r="C9" s="231" t="s">
        <v>236</v>
      </c>
      <c r="D9" s="403">
        <f>('Table 3.42-Vol Flows'!C8+'Table 3.42-Vol Flows'!H8)/('Table 3.42-Vol Flows'!M8)</f>
        <v>0.18391668946112266</v>
      </c>
      <c r="E9" s="231" t="s">
        <v>239</v>
      </c>
      <c r="F9" s="113">
        <f>B9*D9</f>
        <v>0.10609228569378007</v>
      </c>
      <c r="H9" s="113">
        <f>'Table 3.19-CFS UAA'!K44</f>
        <v>0.57684969213305914</v>
      </c>
      <c r="I9" s="231" t="s">
        <v>236</v>
      </c>
      <c r="J9" s="403">
        <f>'Table 3.42-Vol Flows'!C8/'Table 3.42-Vol Flows'!K8</f>
        <v>1.5000000000000001E-2</v>
      </c>
      <c r="K9" s="231" t="s">
        <v>239</v>
      </c>
      <c r="L9" s="113">
        <f>H9*J9</f>
        <v>8.6527453819958879E-3</v>
      </c>
      <c r="N9" s="113">
        <f>'Table 3.19-CFS UAA'!K13</f>
        <v>0.57684969213305937</v>
      </c>
      <c r="O9" s="231" t="s">
        <v>236</v>
      </c>
      <c r="P9" s="403">
        <f>'Table 3.42-Vol Flows'!H8/'Table 3.42-Vol Flows'!L8</f>
        <v>1</v>
      </c>
      <c r="Q9" s="231" t="s">
        <v>239</v>
      </c>
      <c r="R9" s="113">
        <f>N9*P9</f>
        <v>0.57684969213305937</v>
      </c>
    </row>
    <row r="10" spans="1:18" x14ac:dyDescent="0.25">
      <c r="A10" s="313"/>
      <c r="B10" s="113"/>
      <c r="C10" s="231"/>
      <c r="D10" s="403"/>
      <c r="E10" s="231"/>
      <c r="F10" s="113"/>
      <c r="H10" s="113"/>
      <c r="I10" s="231"/>
      <c r="J10" s="403"/>
      <c r="K10" s="231"/>
      <c r="L10" s="113"/>
      <c r="N10" s="113"/>
      <c r="O10" s="231"/>
      <c r="P10" s="403"/>
      <c r="Q10" s="231"/>
      <c r="R10" s="113"/>
    </row>
    <row r="11" spans="1:18" x14ac:dyDescent="0.25">
      <c r="A11" s="313" t="s">
        <v>459</v>
      </c>
      <c r="B11" s="113"/>
      <c r="C11" s="231"/>
      <c r="D11" s="403"/>
      <c r="E11" s="231"/>
      <c r="F11" s="113"/>
      <c r="H11" s="180"/>
      <c r="I11" s="231"/>
      <c r="J11" s="403"/>
      <c r="K11" s="231"/>
      <c r="L11" s="113"/>
      <c r="N11" s="113"/>
      <c r="O11" s="231"/>
      <c r="P11" s="403"/>
      <c r="Q11" s="231"/>
      <c r="R11" s="113"/>
    </row>
    <row r="12" spans="1:18" x14ac:dyDescent="0.25">
      <c r="A12" s="362" t="s">
        <v>468</v>
      </c>
      <c r="B12" s="113">
        <f>H12</f>
        <v>0</v>
      </c>
      <c r="C12" s="231"/>
      <c r="D12" s="403">
        <f>'Table 3.42-Vol Flows'!D8/'Table 3.42-Vol Flows'!M8</f>
        <v>0.31949661607597046</v>
      </c>
      <c r="E12" s="231" t="s">
        <v>239</v>
      </c>
      <c r="F12" s="113">
        <f>B12*D12</f>
        <v>0</v>
      </c>
      <c r="H12" s="113">
        <v>0</v>
      </c>
      <c r="I12" s="231"/>
      <c r="J12" s="403">
        <f>'Table 3.42-Vol Flows'!D8/'Table 3.42-Vol Flows'!K8</f>
        <v>0.38562749999999996</v>
      </c>
      <c r="K12" s="231" t="s">
        <v>239</v>
      </c>
      <c r="L12" s="113">
        <f>H12*J12</f>
        <v>0</v>
      </c>
      <c r="N12" s="113">
        <v>0</v>
      </c>
      <c r="O12" s="231"/>
      <c r="P12" s="403">
        <v>0</v>
      </c>
      <c r="Q12" s="231"/>
      <c r="R12" s="113">
        <f>N12*P12</f>
        <v>0</v>
      </c>
    </row>
    <row r="13" spans="1:18" x14ac:dyDescent="0.25">
      <c r="A13" s="362" t="s">
        <v>469</v>
      </c>
      <c r="B13" s="113">
        <f>H13</f>
        <v>9.9377651578020615E-2</v>
      </c>
      <c r="C13" s="231" t="s">
        <v>238</v>
      </c>
      <c r="D13" s="403">
        <f>'Table 3.42-Vol Flows'!E8/'Table 3.42-Vol Flows'!M8</f>
        <v>0.49658669446290687</v>
      </c>
      <c r="E13" s="231" t="s">
        <v>239</v>
      </c>
      <c r="F13" s="113">
        <f>B13*D13</f>
        <v>4.9349619500615741E-2</v>
      </c>
      <c r="H13" s="113">
        <f>'Table 3.27-REC Detail ACS'!L49</f>
        <v>9.9377651578020615E-2</v>
      </c>
      <c r="I13" s="231" t="s">
        <v>238</v>
      </c>
      <c r="J13" s="403">
        <f>'Table 3.42-Vol Flows'!E8/'Table 3.42-Vol Flows'!K8</f>
        <v>0.59937249999999997</v>
      </c>
      <c r="K13" s="231" t="s">
        <v>239</v>
      </c>
      <c r="L13" s="113">
        <f>H13*J13</f>
        <v>5.9564231470447156E-2</v>
      </c>
      <c r="N13" s="113">
        <v>0</v>
      </c>
      <c r="O13" s="231"/>
      <c r="P13" s="403">
        <v>0</v>
      </c>
      <c r="Q13" s="231"/>
      <c r="R13" s="113">
        <f>N13*P13</f>
        <v>0</v>
      </c>
    </row>
    <row r="14" spans="1:18" x14ac:dyDescent="0.25">
      <c r="A14" s="362"/>
      <c r="B14" s="113"/>
      <c r="C14" s="231"/>
      <c r="D14" s="403"/>
      <c r="E14" s="231"/>
      <c r="F14" s="113"/>
      <c r="H14" s="113"/>
      <c r="I14" s="231"/>
      <c r="J14" s="403"/>
      <c r="K14" s="231"/>
      <c r="L14" s="113"/>
      <c r="N14" s="113"/>
      <c r="O14" s="231"/>
      <c r="P14" s="403"/>
      <c r="Q14" s="231"/>
      <c r="R14" s="113"/>
    </row>
    <row r="15" spans="1:18" x14ac:dyDescent="0.25">
      <c r="A15" s="180"/>
      <c r="B15" s="113"/>
      <c r="C15" s="113"/>
      <c r="D15" s="403"/>
      <c r="E15" s="195"/>
      <c r="F15" s="113">
        <f>SUM(F8:F13)</f>
        <v>0.15544190519439582</v>
      </c>
      <c r="H15" s="113"/>
      <c r="I15" s="113"/>
      <c r="J15" s="403"/>
      <c r="K15" s="195"/>
      <c r="L15" s="113">
        <f>SUM(L8:L13)</f>
        <v>6.8216976852443045E-2</v>
      </c>
      <c r="N15" s="113"/>
      <c r="O15" s="113"/>
      <c r="P15" s="403"/>
      <c r="Q15" s="195"/>
      <c r="R15" s="113">
        <f>SUM(R8:R13)</f>
        <v>0.57684969213305937</v>
      </c>
    </row>
    <row r="16" spans="1:18" ht="13" x14ac:dyDescent="0.3">
      <c r="A16" s="321" t="s">
        <v>342</v>
      </c>
      <c r="B16" s="113"/>
      <c r="C16" s="113"/>
      <c r="D16" s="403"/>
      <c r="E16" s="195"/>
      <c r="F16" s="113"/>
      <c r="H16" s="113"/>
      <c r="I16" s="113"/>
      <c r="J16" s="403"/>
      <c r="K16" s="195"/>
      <c r="L16" s="113"/>
      <c r="N16" s="113"/>
      <c r="O16" s="113"/>
      <c r="P16" s="403"/>
      <c r="Q16" s="195"/>
      <c r="R16" s="113"/>
    </row>
    <row r="17" spans="1:21" x14ac:dyDescent="0.25">
      <c r="A17" s="313" t="s">
        <v>767</v>
      </c>
      <c r="B17" s="113">
        <f>N17</f>
        <v>0.41765949831167254</v>
      </c>
      <c r="C17" s="113"/>
      <c r="D17" s="403">
        <f>'Table 3.42-Vol Flows'!H15/'Table 3.42-Vol Flows'!M15</f>
        <v>8.7676982429568909E-2</v>
      </c>
      <c r="E17" s="195"/>
      <c r="F17" s="113">
        <f>B17*D17</f>
        <v>3.661912449501508E-2</v>
      </c>
      <c r="H17" s="113">
        <f>IF(SUM('Table 3.18-Nixie UAA'!D17:D18)&lt;&gt;0,SUM('Table 3.18-Nixie UAA'!I17:I18)/SUM('Table 3.18-Nixie UAA'!D17:D18),0)</f>
        <v>0</v>
      </c>
      <c r="I17" s="231" t="s">
        <v>242</v>
      </c>
      <c r="J17" s="403">
        <v>1</v>
      </c>
      <c r="K17" s="195"/>
      <c r="L17" s="113">
        <f>H17*J17</f>
        <v>0</v>
      </c>
      <c r="N17" s="113">
        <f>IF(SUM('Table 3.18-Nixie UAA'!D26:D27)&lt;&gt;0,SUM('Table 3.18-Nixie UAA'!I26:I27)/SUM('Table 3.18-Nixie UAA'!D26:D27),0)</f>
        <v>0.41765949831167254</v>
      </c>
      <c r="O17" s="231" t="s">
        <v>242</v>
      </c>
      <c r="P17" s="403">
        <v>1</v>
      </c>
      <c r="Q17" s="195"/>
      <c r="R17" s="113">
        <f>N17*P17</f>
        <v>0.41765949831167254</v>
      </c>
    </row>
    <row r="18" spans="1:21" ht="13" x14ac:dyDescent="0.3">
      <c r="A18" s="321"/>
      <c r="B18" s="113"/>
      <c r="C18" s="113"/>
      <c r="D18" s="403"/>
      <c r="E18" s="195"/>
      <c r="F18" s="113"/>
      <c r="H18" s="113"/>
      <c r="I18" s="113"/>
      <c r="J18" s="403"/>
      <c r="K18" s="195"/>
      <c r="L18" s="113"/>
      <c r="N18" s="113"/>
      <c r="O18" s="113"/>
      <c r="P18" s="403"/>
      <c r="Q18" s="195"/>
      <c r="R18" s="113"/>
    </row>
    <row r="19" spans="1:21" x14ac:dyDescent="0.25">
      <c r="A19" s="313" t="s">
        <v>470</v>
      </c>
      <c r="B19" s="113"/>
      <c r="C19" s="113"/>
      <c r="D19" s="403"/>
      <c r="E19" s="195"/>
      <c r="F19" s="113"/>
      <c r="H19" s="113"/>
      <c r="I19" s="113"/>
      <c r="J19" s="403"/>
      <c r="K19" s="195"/>
      <c r="L19" s="113"/>
      <c r="N19" s="113"/>
      <c r="O19" s="113"/>
      <c r="P19" s="403"/>
      <c r="Q19" s="195"/>
      <c r="R19" s="113"/>
    </row>
    <row r="20" spans="1:21" x14ac:dyDescent="0.25">
      <c r="A20" s="362" t="s">
        <v>130</v>
      </c>
      <c r="B20" s="113">
        <v>0</v>
      </c>
      <c r="C20" s="231"/>
      <c r="D20" s="403">
        <v>0</v>
      </c>
      <c r="E20" s="231"/>
      <c r="F20" s="113">
        <f>B20*D20</f>
        <v>0</v>
      </c>
      <c r="H20" s="113">
        <v>0</v>
      </c>
      <c r="I20" s="231"/>
      <c r="J20" s="403">
        <v>0</v>
      </c>
      <c r="K20" s="231"/>
      <c r="L20" s="113">
        <f>H20*J20</f>
        <v>0</v>
      </c>
      <c r="N20" s="113">
        <v>0</v>
      </c>
      <c r="O20" s="231"/>
      <c r="P20" s="403">
        <v>0</v>
      </c>
      <c r="Q20" s="231"/>
      <c r="R20" s="113">
        <f>N20*P20</f>
        <v>0</v>
      </c>
      <c r="U20" s="11"/>
    </row>
    <row r="21" spans="1:21" x14ac:dyDescent="0.25">
      <c r="A21" s="362" t="s">
        <v>471</v>
      </c>
      <c r="B21" s="113">
        <f>SUM('Table 3.19-CFS UAA'!J26,'Table 3.19-CFS UAA'!J57)/SUM('Table 3.19-CFS UAA'!B26,'Table 3.19-CFS UAA'!B57)</f>
        <v>0.46302257181994061</v>
      </c>
      <c r="C21" s="231" t="s">
        <v>236</v>
      </c>
      <c r="D21" s="403">
        <f>('Table 3.42-Vol Flows'!C15+'Table 3.42-Vol Flows'!H15)/('Table 3.42-Vol Flows'!M15)</f>
        <v>0.10136182769312536</v>
      </c>
      <c r="E21" s="231" t="s">
        <v>239</v>
      </c>
      <c r="F21" s="113">
        <f>B21*D21</f>
        <v>4.6932814142840583E-2</v>
      </c>
      <c r="H21" s="113">
        <f>'Table 3.19-CFS UAA'!K57</f>
        <v>0.46302257181994061</v>
      </c>
      <c r="I21" s="231" t="s">
        <v>236</v>
      </c>
      <c r="J21" s="403">
        <f>'Table 3.42-Vol Flows'!C15/'Table 3.42-Vol Flows'!K15</f>
        <v>1.4999999999999999E-2</v>
      </c>
      <c r="K21" s="231" t="s">
        <v>239</v>
      </c>
      <c r="L21" s="113">
        <f>H21*J21</f>
        <v>6.9453385772991092E-3</v>
      </c>
      <c r="N21" s="113">
        <f>'Table 3.19-CFS UAA'!K26</f>
        <v>0.46302257181994055</v>
      </c>
      <c r="O21" s="231" t="s">
        <v>236</v>
      </c>
      <c r="P21" s="403">
        <f>'Table 3.42-Vol Flows'!H15/'Table 3.42-Vol Flows'!L15</f>
        <v>1</v>
      </c>
      <c r="Q21" s="231" t="s">
        <v>239</v>
      </c>
      <c r="R21" s="113">
        <f>N21*P21</f>
        <v>0.46302257181994055</v>
      </c>
    </row>
    <row r="22" spans="1:21" x14ac:dyDescent="0.25">
      <c r="A22" s="313"/>
      <c r="B22" s="113"/>
      <c r="C22" s="231"/>
      <c r="D22" s="403"/>
      <c r="E22" s="231"/>
      <c r="F22" s="113"/>
      <c r="H22" s="113"/>
      <c r="I22" s="231"/>
      <c r="J22" s="403"/>
      <c r="K22" s="231"/>
      <c r="L22" s="113"/>
      <c r="N22" s="113"/>
      <c r="O22" s="231"/>
      <c r="P22" s="403"/>
      <c r="Q22" s="231"/>
      <c r="R22" s="113"/>
    </row>
    <row r="23" spans="1:21" x14ac:dyDescent="0.25">
      <c r="A23" s="313" t="s">
        <v>459</v>
      </c>
      <c r="B23" s="113"/>
      <c r="C23" s="231"/>
      <c r="D23" s="403"/>
      <c r="E23" s="231"/>
      <c r="F23" s="113"/>
      <c r="H23" s="113"/>
      <c r="I23" s="231"/>
      <c r="J23" s="403"/>
      <c r="K23" s="231"/>
      <c r="L23" s="113"/>
      <c r="N23" s="113"/>
      <c r="O23" s="231"/>
      <c r="P23" s="403"/>
      <c r="Q23" s="231"/>
      <c r="R23" s="113"/>
    </row>
    <row r="24" spans="1:21" x14ac:dyDescent="0.25">
      <c r="A24" s="362" t="s">
        <v>468</v>
      </c>
      <c r="B24" s="113">
        <f>H24</f>
        <v>0</v>
      </c>
      <c r="C24" s="231"/>
      <c r="D24" s="403">
        <f>'Table 3.42-Vol Flows'!D15/'Table 3.42-Vol Flows'!M15</f>
        <v>0.35896239978972494</v>
      </c>
      <c r="E24" s="231" t="s">
        <v>239</v>
      </c>
      <c r="F24" s="113">
        <f>B24*D24</f>
        <v>0</v>
      </c>
      <c r="H24" s="113">
        <v>0</v>
      </c>
      <c r="I24" s="231"/>
      <c r="J24" s="403">
        <f>'Table 3.42-Vol Flows'!D15/'Table 3.42-Vol Flows'!K15</f>
        <v>0.3934597646628083</v>
      </c>
      <c r="K24" s="231" t="s">
        <v>239</v>
      </c>
      <c r="L24" s="113">
        <f>H24*J24</f>
        <v>0</v>
      </c>
      <c r="N24" s="113">
        <v>0</v>
      </c>
      <c r="O24" s="231"/>
      <c r="P24" s="403">
        <v>0</v>
      </c>
      <c r="Q24" s="231"/>
      <c r="R24" s="113">
        <f>N24*P24</f>
        <v>0</v>
      </c>
    </row>
    <row r="25" spans="1:21" x14ac:dyDescent="0.25">
      <c r="A25" s="362" t="s">
        <v>469</v>
      </c>
      <c r="B25" s="113">
        <f>H25</f>
        <v>9.9377651578020615E-2</v>
      </c>
      <c r="C25" s="231" t="s">
        <v>238</v>
      </c>
      <c r="D25" s="403">
        <f>'Table 3.42-Vol Flows'!E15/'Table 3.42-Vol Flows'!M15</f>
        <v>0.53967577251714971</v>
      </c>
      <c r="E25" s="231" t="s">
        <v>239</v>
      </c>
      <c r="F25" s="113">
        <f>B25*D25</f>
        <v>5.3631710886308415E-2</v>
      </c>
      <c r="H25" s="113">
        <f>'Table 3.27-REC Detail ACS'!L50</f>
        <v>9.9377651578020615E-2</v>
      </c>
      <c r="I25" s="231" t="s">
        <v>238</v>
      </c>
      <c r="J25" s="403">
        <f>'Table 3.42-Vol Flows'!E15/'Table 3.42-Vol Flows'!K15</f>
        <v>0.59154023533719169</v>
      </c>
      <c r="K25" s="231" t="s">
        <v>239</v>
      </c>
      <c r="L25" s="113">
        <f>H25*J25</f>
        <v>5.8785879401719754E-2</v>
      </c>
      <c r="N25" s="113">
        <v>0</v>
      </c>
      <c r="O25" s="231"/>
      <c r="P25" s="403">
        <v>0</v>
      </c>
      <c r="Q25" s="231"/>
      <c r="R25" s="113">
        <f>N25*P25</f>
        <v>0</v>
      </c>
    </row>
    <row r="26" spans="1:21" x14ac:dyDescent="0.25">
      <c r="A26" s="362"/>
      <c r="B26" s="113"/>
      <c r="C26" s="231"/>
      <c r="D26" s="403"/>
      <c r="E26" s="231"/>
      <c r="F26" s="113"/>
      <c r="H26" s="113"/>
      <c r="I26" s="231"/>
      <c r="J26" s="403"/>
      <c r="K26" s="231"/>
      <c r="L26" s="113"/>
      <c r="N26" s="113"/>
      <c r="O26" s="231"/>
      <c r="P26" s="403"/>
      <c r="Q26" s="231"/>
      <c r="R26" s="113"/>
    </row>
    <row r="27" spans="1:21" x14ac:dyDescent="0.25">
      <c r="A27" s="196"/>
      <c r="B27" s="189"/>
      <c r="C27" s="189"/>
      <c r="D27" s="404"/>
      <c r="E27" s="197"/>
      <c r="F27" s="189">
        <f>SUM(F17:F25)</f>
        <v>0.13718364952416406</v>
      </c>
      <c r="H27" s="189"/>
      <c r="I27" s="189"/>
      <c r="J27" s="404"/>
      <c r="K27" s="197"/>
      <c r="L27" s="189">
        <f>SUM(L17:L25)</f>
        <v>6.5731217979018861E-2</v>
      </c>
      <c r="N27" s="189"/>
      <c r="O27" s="189"/>
      <c r="P27" s="404"/>
      <c r="Q27" s="197"/>
      <c r="R27" s="189">
        <f>SUM(R17:R25)</f>
        <v>0.88068207013161315</v>
      </c>
    </row>
    <row r="28" spans="1:21" x14ac:dyDescent="0.25">
      <c r="B28" s="19"/>
      <c r="C28" s="19"/>
      <c r="D28" s="248"/>
      <c r="E28" s="86"/>
      <c r="F28" s="19"/>
      <c r="H28" s="19"/>
      <c r="I28" s="19"/>
      <c r="J28" s="248"/>
      <c r="K28" s="86"/>
      <c r="L28" s="19"/>
      <c r="N28" s="19"/>
      <c r="O28" s="19"/>
      <c r="P28" s="248"/>
      <c r="Q28" s="86"/>
      <c r="R28" s="19"/>
    </row>
    <row r="29" spans="1:21" x14ac:dyDescent="0.25">
      <c r="A29" s="193"/>
      <c r="B29" s="194"/>
      <c r="C29" s="194"/>
      <c r="D29" s="405" t="s">
        <v>131</v>
      </c>
      <c r="E29" s="198"/>
      <c r="F29" s="199" t="s">
        <v>211</v>
      </c>
      <c r="H29" s="194"/>
      <c r="I29" s="194"/>
      <c r="J29" s="405" t="s">
        <v>131</v>
      </c>
      <c r="K29" s="198"/>
      <c r="L29" s="199" t="s">
        <v>211</v>
      </c>
      <c r="N29" s="194"/>
      <c r="O29" s="194"/>
      <c r="P29" s="405" t="s">
        <v>131</v>
      </c>
      <c r="Q29" s="198"/>
      <c r="R29" s="199" t="s">
        <v>211</v>
      </c>
    </row>
    <row r="30" spans="1:21" x14ac:dyDescent="0.25">
      <c r="A30" s="180"/>
      <c r="B30" s="113"/>
      <c r="C30" s="113"/>
      <c r="D30" s="406" t="s">
        <v>103</v>
      </c>
      <c r="E30" s="200"/>
      <c r="F30" s="322" t="s">
        <v>104</v>
      </c>
      <c r="H30" s="113"/>
      <c r="I30" s="113"/>
      <c r="J30" s="406" t="s">
        <v>103</v>
      </c>
      <c r="K30" s="200"/>
      <c r="L30" s="322" t="s">
        <v>104</v>
      </c>
      <c r="N30" s="113"/>
      <c r="O30" s="113"/>
      <c r="P30" s="406" t="s">
        <v>103</v>
      </c>
      <c r="Q30" s="200"/>
      <c r="R30" s="322" t="s">
        <v>104</v>
      </c>
    </row>
    <row r="31" spans="1:21" x14ac:dyDescent="0.25">
      <c r="A31" s="236" t="s">
        <v>343</v>
      </c>
      <c r="B31" s="194">
        <f>F15</f>
        <v>0.15544190519439582</v>
      </c>
      <c r="C31" s="113"/>
      <c r="D31" s="403">
        <f>'Table 3.42-Vol Flows'!M8/SUM('Table 3.42-Vol Flows'!M8,'Table 3.42-Vol Flows'!M15)</f>
        <v>0.35245660422929925</v>
      </c>
      <c r="E31" s="231" t="s">
        <v>239</v>
      </c>
      <c r="F31" s="113">
        <f>B31*D31</f>
        <v>5.4786526059749423E-2</v>
      </c>
      <c r="H31" s="194">
        <f>L15</f>
        <v>6.8216976852443045E-2</v>
      </c>
      <c r="I31" s="113"/>
      <c r="J31" s="403">
        <f>'Table 3.42-Vol Flows'!K8/SUM('Table 3.42-Vol Flows'!K8,'Table 3.42-Vol Flows'!K15)</f>
        <v>0.33078819453968028</v>
      </c>
      <c r="K31" s="231" t="s">
        <v>239</v>
      </c>
      <c r="L31" s="113">
        <f>H31*J31</f>
        <v>2.2565370609974798E-2</v>
      </c>
      <c r="N31" s="194">
        <f>R15</f>
        <v>0.57684969213305937</v>
      </c>
      <c r="O31" s="113"/>
      <c r="P31" s="403">
        <f>'Table 3.42-Vol Flows'!L8/SUM('Table 3.42-Vol Flows'!L8,'Table 3.42-Vol Flows'!L15)</f>
        <v>0.51564528010823996</v>
      </c>
      <c r="Q31" s="231" t="s">
        <v>239</v>
      </c>
      <c r="R31" s="113">
        <f>N31*P31</f>
        <v>0.29744982108030338</v>
      </c>
    </row>
    <row r="32" spans="1:21" x14ac:dyDescent="0.25">
      <c r="A32" s="235" t="s">
        <v>108</v>
      </c>
      <c r="B32" s="113">
        <f>F27</f>
        <v>0.13718364952416406</v>
      </c>
      <c r="C32" s="113"/>
      <c r="D32" s="403">
        <f>'Table 3.42-Vol Flows'!M15/SUM('Table 3.42-Vol Flows'!M8,'Table 3.42-Vol Flows'!M15)</f>
        <v>0.64754339577070075</v>
      </c>
      <c r="E32" s="231" t="s">
        <v>239</v>
      </c>
      <c r="F32" s="113">
        <f>B32*D32</f>
        <v>8.8832366257094869E-2</v>
      </c>
      <c r="H32" s="113">
        <f>L27</f>
        <v>6.5731217979018861E-2</v>
      </c>
      <c r="I32" s="113"/>
      <c r="J32" s="403">
        <f>'Table 3.42-Vol Flows'!K15/SUM('Table 3.42-Vol Flows'!K8,'Table 3.42-Vol Flows'!K15)</f>
        <v>0.66921180546031966</v>
      </c>
      <c r="K32" s="231" t="s">
        <v>239</v>
      </c>
      <c r="L32" s="113">
        <f>H32*J32</f>
        <v>4.3988107058845038E-2</v>
      </c>
      <c r="N32" s="113">
        <f>R27</f>
        <v>0.88068207013161315</v>
      </c>
      <c r="O32" s="113"/>
      <c r="P32" s="403">
        <f>'Table 3.42-Vol Flows'!L15/SUM('Table 3.42-Vol Flows'!L8,'Table 3.42-Vol Flows'!L15)</f>
        <v>0.4843547198917601</v>
      </c>
      <c r="Q32" s="231" t="s">
        <v>239</v>
      </c>
      <c r="R32" s="113">
        <f>N32*P32</f>
        <v>0.42656251739229289</v>
      </c>
    </row>
    <row r="33" spans="1:18" x14ac:dyDescent="0.25">
      <c r="A33" s="180"/>
      <c r="B33" s="113"/>
      <c r="C33" s="113"/>
      <c r="D33" s="201"/>
      <c r="E33" s="201"/>
      <c r="F33" s="113"/>
      <c r="H33" s="113"/>
      <c r="I33" s="113"/>
      <c r="J33" s="403"/>
      <c r="K33" s="201"/>
      <c r="L33" s="113"/>
      <c r="N33" s="113"/>
      <c r="O33" s="113"/>
      <c r="P33" s="403"/>
      <c r="Q33" s="201"/>
      <c r="R33" s="113"/>
    </row>
    <row r="34" spans="1:18" ht="13" x14ac:dyDescent="0.3">
      <c r="A34" s="188" t="s">
        <v>132</v>
      </c>
      <c r="B34" s="189"/>
      <c r="C34" s="189"/>
      <c r="D34" s="404">
        <f>D31+D32</f>
        <v>1</v>
      </c>
      <c r="E34" s="202"/>
      <c r="F34" s="191">
        <f>F31+F32</f>
        <v>0.1436188923168443</v>
      </c>
      <c r="G34" s="87"/>
      <c r="H34" s="189"/>
      <c r="I34" s="189"/>
      <c r="J34" s="404">
        <f>J31+J32</f>
        <v>1</v>
      </c>
      <c r="K34" s="202"/>
      <c r="L34" s="191">
        <f>L31+L32</f>
        <v>6.6553477668819833E-2</v>
      </c>
      <c r="N34" s="189"/>
      <c r="O34" s="189"/>
      <c r="P34" s="404">
        <f>P31+P32</f>
        <v>1</v>
      </c>
      <c r="Q34" s="202"/>
      <c r="R34" s="191">
        <f>R31+R32</f>
        <v>0.72401233847259627</v>
      </c>
    </row>
    <row r="35" spans="1:18" hidden="1" x14ac:dyDescent="0.25"/>
    <row r="36" spans="1:18" hidden="1" x14ac:dyDescent="0.25">
      <c r="A36" s="13" t="s">
        <v>188</v>
      </c>
      <c r="B36" s="105">
        <f>B9-H9</f>
        <v>0</v>
      </c>
      <c r="D36" s="105">
        <f>SUM(D8:D13)-1</f>
        <v>0</v>
      </c>
      <c r="F36" s="105">
        <f>F15-'Table 3.1-UAA Summary'!M50</f>
        <v>0</v>
      </c>
      <c r="H36" s="105">
        <f>H9-N9</f>
        <v>0</v>
      </c>
      <c r="J36" s="105">
        <f>SUM(J8:J13)-1</f>
        <v>0</v>
      </c>
      <c r="P36" s="105">
        <f>SUM(P8:P13)-1</f>
        <v>0</v>
      </c>
    </row>
    <row r="37" spans="1:18" hidden="1" x14ac:dyDescent="0.25">
      <c r="B37" s="105">
        <f>B21-H21</f>
        <v>0</v>
      </c>
      <c r="D37" s="105">
        <f>SUM(D20:D25)-1</f>
        <v>0</v>
      </c>
      <c r="E37" s="13"/>
      <c r="F37" s="105">
        <f>F27-SUM('Table 3.1-UAA Summary'!K51:K52)/SUM('Table 3.1-UAA Summary'!L51:L51)</f>
        <v>0</v>
      </c>
      <c r="H37" s="105">
        <f>H21-N21</f>
        <v>0</v>
      </c>
      <c r="J37" s="105">
        <f>SUM(J20:J25)-1</f>
        <v>0</v>
      </c>
      <c r="P37" s="105">
        <f>SUM(P20:P25)-1</f>
        <v>0</v>
      </c>
    </row>
    <row r="38" spans="1:18" hidden="1" x14ac:dyDescent="0.25">
      <c r="B38" s="167"/>
      <c r="D38" s="167"/>
      <c r="E38" s="13"/>
      <c r="F38" s="105">
        <f>F34-'Table 3.1-UAA Summary'!M53</f>
        <v>0</v>
      </c>
      <c r="H38" s="167"/>
      <c r="J38" s="167"/>
      <c r="L38" s="105">
        <f>L34-'Table 3.1-UAA Summary'!G53</f>
        <v>0</v>
      </c>
      <c r="P38" s="167"/>
      <c r="R38" s="105">
        <f>R34-'Table 3.1-UAA Summary'!J53</f>
        <v>0</v>
      </c>
    </row>
    <row r="39" spans="1:18" x14ac:dyDescent="0.25">
      <c r="A39" s="204"/>
      <c r="B39" s="204"/>
      <c r="C39" s="204"/>
      <c r="D39" s="204"/>
    </row>
    <row r="40" spans="1:18" x14ac:dyDescent="0.25">
      <c r="A40" t="s">
        <v>235</v>
      </c>
      <c r="B40" s="161"/>
      <c r="C40" s="161"/>
    </row>
    <row r="41" spans="1:18" x14ac:dyDescent="0.25">
      <c r="A41" s="11" t="s">
        <v>92</v>
      </c>
    </row>
    <row r="42" spans="1:18" x14ac:dyDescent="0.25">
      <c r="A42" s="11" t="s">
        <v>36</v>
      </c>
    </row>
    <row r="43" spans="1:18" x14ac:dyDescent="0.25">
      <c r="A43" s="11" t="s">
        <v>708</v>
      </c>
    </row>
    <row r="44" spans="1:18" x14ac:dyDescent="0.25">
      <c r="A44" s="11" t="s">
        <v>474</v>
      </c>
    </row>
    <row r="45" spans="1:18" x14ac:dyDescent="0.25">
      <c r="A45" s="11" t="s">
        <v>671</v>
      </c>
    </row>
    <row r="46" spans="1:18" x14ac:dyDescent="0.25">
      <c r="A46" s="11" t="s">
        <v>638</v>
      </c>
    </row>
  </sheetData>
  <phoneticPr fontId="0" type="noConversion"/>
  <printOptions horizontalCentered="1"/>
  <pageMargins left="0.75" right="0.75" top="1" bottom="1" header="0.5" footer="0.5"/>
  <pageSetup scale="81" orientation="landscape" r:id="rId1"/>
  <headerFooter alignWithMargins="0">
    <oddFooter>&amp;L&amp;F</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32">
    <pageSetUpPr fitToPage="1"/>
  </sheetPr>
  <dimension ref="A1:U46"/>
  <sheetViews>
    <sheetView zoomScale="70" workbookViewId="0"/>
  </sheetViews>
  <sheetFormatPr defaultRowHeight="12.5" x14ac:dyDescent="0.25"/>
  <cols>
    <col min="1" max="1" width="31.08984375" customWidth="1"/>
    <col min="2" max="2" width="10.6328125" customWidth="1"/>
    <col min="3" max="3" width="2.6328125" customWidth="1"/>
    <col min="4" max="4" width="10.08984375" customWidth="1"/>
    <col min="5" max="5" width="2.6328125" customWidth="1"/>
    <col min="6" max="6" width="12.54296875" customWidth="1"/>
    <col min="7" max="7" width="2.6328125" customWidth="1"/>
    <col min="8" max="8" width="10.6328125" customWidth="1"/>
    <col min="9" max="9" width="2.6328125" customWidth="1"/>
    <col min="10" max="10" width="10.08984375" customWidth="1"/>
    <col min="11" max="11" width="2.6328125" customWidth="1"/>
    <col min="12" max="12" width="12.54296875" customWidth="1"/>
    <col min="13" max="13" width="2.6328125" customWidth="1"/>
    <col min="14" max="14" width="10.6328125" customWidth="1"/>
    <col min="15" max="15" width="2.6328125" customWidth="1"/>
    <col min="16" max="16" width="10.08984375" customWidth="1"/>
    <col min="17" max="17" width="2.6328125" customWidth="1"/>
    <col min="18" max="18" width="12.54296875" customWidth="1"/>
  </cols>
  <sheetData>
    <row r="1" spans="1:18" ht="15.5" x14ac:dyDescent="0.35">
      <c r="A1" s="117" t="s">
        <v>773</v>
      </c>
      <c r="B1" s="5"/>
      <c r="C1" s="5"/>
      <c r="D1" s="5"/>
      <c r="E1" s="5"/>
      <c r="F1" s="5"/>
    </row>
    <row r="2" spans="1:18" ht="16" thickBot="1" x14ac:dyDescent="0.4">
      <c r="A2" s="117" t="s">
        <v>787</v>
      </c>
      <c r="B2" s="5"/>
      <c r="C2" s="5"/>
      <c r="D2" s="5"/>
      <c r="E2" s="5"/>
      <c r="F2" s="5"/>
    </row>
    <row r="3" spans="1:18" ht="13.5" thickBot="1" x14ac:dyDescent="0.35">
      <c r="A3" s="15"/>
      <c r="B3" s="316" t="s">
        <v>270</v>
      </c>
      <c r="C3" s="317"/>
      <c r="D3" s="317"/>
      <c r="E3" s="318"/>
      <c r="F3" s="319"/>
      <c r="H3" s="316" t="s">
        <v>147</v>
      </c>
      <c r="I3" s="317"/>
      <c r="J3" s="317"/>
      <c r="K3" s="318"/>
      <c r="L3" s="319"/>
      <c r="N3" s="316" t="s">
        <v>344</v>
      </c>
      <c r="O3" s="317"/>
      <c r="P3" s="317"/>
      <c r="Q3" s="318"/>
      <c r="R3" s="319"/>
    </row>
    <row r="4" spans="1:18" x14ac:dyDescent="0.25">
      <c r="B4" s="314" t="s">
        <v>128</v>
      </c>
      <c r="C4" s="20"/>
      <c r="D4" s="4"/>
      <c r="E4" s="4"/>
      <c r="F4" s="315" t="s">
        <v>117</v>
      </c>
      <c r="H4" s="314" t="s">
        <v>128</v>
      </c>
      <c r="I4" s="20"/>
      <c r="J4" s="4"/>
      <c r="K4" s="4"/>
      <c r="L4" s="315" t="s">
        <v>117</v>
      </c>
      <c r="N4" s="314" t="s">
        <v>128</v>
      </c>
      <c r="O4" s="20"/>
      <c r="P4" s="4"/>
      <c r="Q4" s="4"/>
      <c r="R4" s="315" t="s">
        <v>117</v>
      </c>
    </row>
    <row r="5" spans="1:18" x14ac:dyDescent="0.25">
      <c r="B5" s="156" t="s">
        <v>104</v>
      </c>
      <c r="C5" s="234"/>
      <c r="D5" s="116" t="s">
        <v>97</v>
      </c>
      <c r="E5" s="116"/>
      <c r="F5" s="158" t="s">
        <v>104</v>
      </c>
      <c r="H5" s="156" t="s">
        <v>104</v>
      </c>
      <c r="I5" s="234"/>
      <c r="J5" s="116" t="s">
        <v>97</v>
      </c>
      <c r="K5" s="116"/>
      <c r="L5" s="158" t="s">
        <v>104</v>
      </c>
      <c r="N5" s="156" t="s">
        <v>104</v>
      </c>
      <c r="O5" s="234"/>
      <c r="P5" s="116" t="s">
        <v>97</v>
      </c>
      <c r="Q5" s="116"/>
      <c r="R5" s="158" t="s">
        <v>104</v>
      </c>
    </row>
    <row r="6" spans="1:18" ht="13" x14ac:dyDescent="0.3">
      <c r="A6" s="320" t="s">
        <v>129</v>
      </c>
      <c r="B6" s="192"/>
      <c r="C6" s="192"/>
      <c r="D6" s="193"/>
      <c r="E6" s="193"/>
      <c r="F6" s="194"/>
      <c r="H6" s="192"/>
      <c r="I6" s="192"/>
      <c r="J6" s="193"/>
      <c r="K6" s="193"/>
      <c r="L6" s="194"/>
      <c r="N6" s="192"/>
      <c r="O6" s="192"/>
      <c r="P6" s="193"/>
      <c r="Q6" s="193"/>
      <c r="R6" s="194"/>
    </row>
    <row r="7" spans="1:18" x14ac:dyDescent="0.25">
      <c r="A7" s="313" t="s">
        <v>470</v>
      </c>
      <c r="B7" s="363"/>
      <c r="C7" s="363"/>
      <c r="D7" s="180"/>
      <c r="E7" s="180"/>
      <c r="F7" s="113"/>
      <c r="H7" s="363"/>
      <c r="I7" s="363"/>
      <c r="J7" s="180"/>
      <c r="K7" s="180"/>
      <c r="L7" s="113"/>
      <c r="N7" s="363"/>
      <c r="O7" s="363"/>
      <c r="P7" s="180"/>
      <c r="Q7" s="180"/>
      <c r="R7" s="113"/>
    </row>
    <row r="8" spans="1:18" x14ac:dyDescent="0.25">
      <c r="A8" s="364" t="s">
        <v>472</v>
      </c>
      <c r="B8" s="113">
        <v>0</v>
      </c>
      <c r="C8" s="231"/>
      <c r="D8" s="403">
        <v>0</v>
      </c>
      <c r="E8" s="231"/>
      <c r="F8" s="113">
        <f>B8*D8</f>
        <v>0</v>
      </c>
      <c r="H8" s="113">
        <v>0</v>
      </c>
      <c r="I8" s="231"/>
      <c r="J8" s="403">
        <v>0</v>
      </c>
      <c r="K8" s="231"/>
      <c r="L8" s="113">
        <f>H8*J8</f>
        <v>0</v>
      </c>
      <c r="N8" s="113">
        <v>0</v>
      </c>
      <c r="O8" s="231"/>
      <c r="P8" s="403">
        <v>0</v>
      </c>
      <c r="Q8" s="231"/>
      <c r="R8" s="113">
        <f>N8*P8</f>
        <v>0</v>
      </c>
    </row>
    <row r="9" spans="1:18" x14ac:dyDescent="0.25">
      <c r="A9" s="364" t="s">
        <v>473</v>
      </c>
      <c r="B9" s="113">
        <f>SUM('Table 3.19-CFS UAA'!J44,'Table 3.19-CFS UAA'!J13)/SUM('Table 3.19-CFS UAA'!B44,'Table 3.19-CFS UAA'!B13)</f>
        <v>0.57684969213305926</v>
      </c>
      <c r="C9" s="231" t="s">
        <v>236</v>
      </c>
      <c r="D9" s="403">
        <f>('Table 3.42-Vol Flows'!C8+'Table 3.42-Vol Flows'!H8)/('Table 3.42-Vol Flows'!M8)</f>
        <v>0.18391668946112266</v>
      </c>
      <c r="E9" s="231" t="s">
        <v>239</v>
      </c>
      <c r="F9" s="113">
        <f>B9*D9</f>
        <v>0.10609228569378007</v>
      </c>
      <c r="H9" s="113">
        <f>'Table 3.19-CFS UAA'!K44</f>
        <v>0.57684969213305914</v>
      </c>
      <c r="I9" s="231" t="s">
        <v>236</v>
      </c>
      <c r="J9" s="403">
        <f>'Table 3.42-Vol Flows'!C8/'Table 3.42-Vol Flows'!K8</f>
        <v>1.5000000000000001E-2</v>
      </c>
      <c r="K9" s="231" t="s">
        <v>239</v>
      </c>
      <c r="L9" s="113">
        <f>H9*J9</f>
        <v>8.6527453819958879E-3</v>
      </c>
      <c r="N9" s="113">
        <f>'Table 3.19-CFS UAA'!K13</f>
        <v>0.57684969213305937</v>
      </c>
      <c r="O9" s="231" t="s">
        <v>236</v>
      </c>
      <c r="P9" s="403">
        <f>'Table 3.42-Vol Flows'!H8/'Table 3.42-Vol Flows'!L8</f>
        <v>1</v>
      </c>
      <c r="Q9" s="231" t="s">
        <v>239</v>
      </c>
      <c r="R9" s="113">
        <f>N9*P9</f>
        <v>0.57684969213305937</v>
      </c>
    </row>
    <row r="10" spans="1:18" x14ac:dyDescent="0.25">
      <c r="A10" s="313"/>
      <c r="B10" s="113"/>
      <c r="C10" s="231"/>
      <c r="D10" s="403"/>
      <c r="E10" s="231"/>
      <c r="F10" s="113"/>
      <c r="H10" s="113"/>
      <c r="I10" s="231"/>
      <c r="J10" s="403"/>
      <c r="K10" s="231"/>
      <c r="L10" s="113"/>
      <c r="N10" s="113"/>
      <c r="O10" s="231"/>
      <c r="P10" s="403"/>
      <c r="Q10" s="231"/>
      <c r="R10" s="113"/>
    </row>
    <row r="11" spans="1:18" x14ac:dyDescent="0.25">
      <c r="A11" s="313" t="s">
        <v>459</v>
      </c>
      <c r="B11" s="113"/>
      <c r="C11" s="231"/>
      <c r="D11" s="403"/>
      <c r="E11" s="231"/>
      <c r="F11" s="113"/>
      <c r="H11" s="180"/>
      <c r="I11" s="231"/>
      <c r="J11" s="403"/>
      <c r="K11" s="231"/>
      <c r="L11" s="113"/>
      <c r="N11" s="113"/>
      <c r="O11" s="231"/>
      <c r="P11" s="403"/>
      <c r="Q11" s="231"/>
      <c r="R11" s="113"/>
    </row>
    <row r="12" spans="1:18" x14ac:dyDescent="0.25">
      <c r="A12" s="364" t="s">
        <v>475</v>
      </c>
      <c r="B12" s="113">
        <f>H12</f>
        <v>0</v>
      </c>
      <c r="C12" s="231"/>
      <c r="D12" s="403">
        <f>'Table 3.43-Elec Notice'!D12+'Table 3.43-Elec Notice'!D13</f>
        <v>0.81608331053887739</v>
      </c>
      <c r="E12" s="231" t="s">
        <v>239</v>
      </c>
      <c r="F12" s="113">
        <f>B12*D12</f>
        <v>0</v>
      </c>
      <c r="H12" s="113">
        <v>0</v>
      </c>
      <c r="I12" s="231"/>
      <c r="J12" s="403">
        <f>'Table 3.43-Elec Notice'!J12+'Table 3.43-Elec Notice'!J13</f>
        <v>0.98499999999999988</v>
      </c>
      <c r="K12" s="231" t="s">
        <v>239</v>
      </c>
      <c r="L12" s="113">
        <f>H12*J12</f>
        <v>0</v>
      </c>
      <c r="N12" s="113">
        <v>0</v>
      </c>
      <c r="O12" s="231"/>
      <c r="P12" s="403">
        <v>0</v>
      </c>
      <c r="Q12" s="231"/>
      <c r="R12" s="113">
        <f>N12*P12</f>
        <v>0</v>
      </c>
    </row>
    <row r="13" spans="1:18" x14ac:dyDescent="0.25">
      <c r="A13" s="362" t="s">
        <v>469</v>
      </c>
      <c r="B13" s="113">
        <f>H13</f>
        <v>9.9377651578020615E-2</v>
      </c>
      <c r="C13" s="231" t="s">
        <v>238</v>
      </c>
      <c r="D13" s="407">
        <v>0</v>
      </c>
      <c r="E13" s="231"/>
      <c r="F13" s="113">
        <f>B13*D13</f>
        <v>0</v>
      </c>
      <c r="H13" s="113">
        <f>'Table 3.27-REC Detail ACS'!L49</f>
        <v>9.9377651578020615E-2</v>
      </c>
      <c r="I13" s="231" t="s">
        <v>238</v>
      </c>
      <c r="J13" s="407">
        <v>0</v>
      </c>
      <c r="K13" s="231"/>
      <c r="L13" s="113">
        <f>H13*J13</f>
        <v>0</v>
      </c>
      <c r="N13" s="113">
        <v>0</v>
      </c>
      <c r="O13" s="231"/>
      <c r="P13" s="403">
        <v>0</v>
      </c>
      <c r="Q13" s="231"/>
      <c r="R13" s="113">
        <f>N13*P13</f>
        <v>0</v>
      </c>
    </row>
    <row r="14" spans="1:18" x14ac:dyDescent="0.25">
      <c r="A14" s="362"/>
      <c r="B14" s="113"/>
      <c r="C14" s="231"/>
      <c r="D14" s="403"/>
      <c r="E14" s="231"/>
      <c r="F14" s="113"/>
      <c r="H14" s="113"/>
      <c r="I14" s="231"/>
      <c r="J14" s="403"/>
      <c r="K14" s="231"/>
      <c r="L14" s="113"/>
      <c r="N14" s="113"/>
      <c r="O14" s="231"/>
      <c r="P14" s="403"/>
      <c r="Q14" s="231"/>
      <c r="R14" s="113"/>
    </row>
    <row r="15" spans="1:18" x14ac:dyDescent="0.25">
      <c r="A15" s="180"/>
      <c r="B15" s="113"/>
      <c r="C15" s="113"/>
      <c r="D15" s="403"/>
      <c r="E15" s="195"/>
      <c r="F15" s="113">
        <f>SUM(F8:F13)</f>
        <v>0.10609228569378007</v>
      </c>
      <c r="H15" s="113"/>
      <c r="I15" s="113"/>
      <c r="J15" s="403"/>
      <c r="K15" s="195"/>
      <c r="L15" s="113">
        <f>SUM(L8:L13)</f>
        <v>8.6527453819958879E-3</v>
      </c>
      <c r="N15" s="113"/>
      <c r="O15" s="113"/>
      <c r="P15" s="403"/>
      <c r="Q15" s="195"/>
      <c r="R15" s="113">
        <f>SUM(R8:R13)</f>
        <v>0.57684969213305937</v>
      </c>
    </row>
    <row r="16" spans="1:18" ht="13" x14ac:dyDescent="0.3">
      <c r="A16" s="321" t="s">
        <v>342</v>
      </c>
      <c r="B16" s="113"/>
      <c r="C16" s="113"/>
      <c r="D16" s="403"/>
      <c r="E16" s="195"/>
      <c r="F16" s="113"/>
      <c r="H16" s="113"/>
      <c r="I16" s="113"/>
      <c r="J16" s="403"/>
      <c r="K16" s="195"/>
      <c r="L16" s="113"/>
      <c r="N16" s="113"/>
      <c r="O16" s="113"/>
      <c r="P16" s="403"/>
      <c r="Q16" s="195"/>
      <c r="R16" s="113"/>
    </row>
    <row r="17" spans="1:21" x14ac:dyDescent="0.25">
      <c r="A17" s="313" t="s">
        <v>767</v>
      </c>
      <c r="B17" s="113">
        <f>N17</f>
        <v>0.41765949831167254</v>
      </c>
      <c r="C17" s="113"/>
      <c r="D17" s="403">
        <f>'Table 3.42-Vol Flows'!H15/'Table 3.42-Vol Flows'!M15</f>
        <v>8.7676982429568909E-2</v>
      </c>
      <c r="E17" s="195"/>
      <c r="F17" s="113">
        <f>B17*D17</f>
        <v>3.661912449501508E-2</v>
      </c>
      <c r="H17" s="113">
        <f>IF(SUM('Table 3.18-Nixie UAA'!D17:D18)&lt;&gt;0,SUM('Table 3.18-Nixie UAA'!I17:I18)/SUM('Table 3.18-Nixie UAA'!D17:D18),0)</f>
        <v>0</v>
      </c>
      <c r="I17" s="231" t="s">
        <v>239</v>
      </c>
      <c r="J17" s="403">
        <v>1</v>
      </c>
      <c r="K17" s="195"/>
      <c r="L17" s="113">
        <f>H17*J17</f>
        <v>0</v>
      </c>
      <c r="N17" s="113">
        <f>IF(SUM('Table 3.18-Nixie UAA'!D26:D27)&lt;&gt;0,SUM('Table 3.18-Nixie UAA'!I26:I27)/SUM('Table 3.18-Nixie UAA'!D26:D27),0)</f>
        <v>0.41765949831167254</v>
      </c>
      <c r="O17" s="231" t="s">
        <v>242</v>
      </c>
      <c r="P17" s="403">
        <v>1</v>
      </c>
      <c r="Q17" s="195"/>
      <c r="R17" s="113">
        <f>N17*P17</f>
        <v>0.41765949831167254</v>
      </c>
    </row>
    <row r="18" spans="1:21" ht="13" x14ac:dyDescent="0.3">
      <c r="A18" s="321"/>
      <c r="B18" s="113"/>
      <c r="C18" s="113"/>
      <c r="D18" s="403"/>
      <c r="E18" s="195"/>
      <c r="F18" s="113"/>
      <c r="H18" s="113"/>
      <c r="I18" s="113"/>
      <c r="J18" s="403"/>
      <c r="K18" s="195"/>
      <c r="L18" s="113"/>
      <c r="N18" s="113"/>
      <c r="O18" s="113"/>
      <c r="P18" s="403"/>
      <c r="Q18" s="195"/>
      <c r="R18" s="113"/>
    </row>
    <row r="19" spans="1:21" x14ac:dyDescent="0.25">
      <c r="A19" s="313" t="s">
        <v>470</v>
      </c>
      <c r="B19" s="113"/>
      <c r="C19" s="113"/>
      <c r="D19" s="403"/>
      <c r="E19" s="195"/>
      <c r="F19" s="113"/>
      <c r="H19" s="113"/>
      <c r="I19" s="113"/>
      <c r="J19" s="403"/>
      <c r="K19" s="195"/>
      <c r="L19" s="113"/>
      <c r="N19" s="113"/>
      <c r="O19" s="113"/>
      <c r="P19" s="403"/>
      <c r="Q19" s="195"/>
      <c r="R19" s="113"/>
    </row>
    <row r="20" spans="1:21" x14ac:dyDescent="0.25">
      <c r="A20" s="362" t="s">
        <v>130</v>
      </c>
      <c r="B20" s="113">
        <v>0</v>
      </c>
      <c r="C20" s="231"/>
      <c r="D20" s="403">
        <v>0</v>
      </c>
      <c r="E20" s="231"/>
      <c r="F20" s="113">
        <f>B20*D20</f>
        <v>0</v>
      </c>
      <c r="H20" s="113">
        <v>0</v>
      </c>
      <c r="I20" s="231"/>
      <c r="J20" s="403">
        <v>0</v>
      </c>
      <c r="K20" s="231"/>
      <c r="L20" s="113">
        <f>H20*J20</f>
        <v>0</v>
      </c>
      <c r="N20" s="113">
        <v>0</v>
      </c>
      <c r="O20" s="231"/>
      <c r="P20" s="403">
        <v>0</v>
      </c>
      <c r="Q20" s="231"/>
      <c r="R20" s="113">
        <f>N20*P20</f>
        <v>0</v>
      </c>
      <c r="U20" s="11"/>
    </row>
    <row r="21" spans="1:21" x14ac:dyDescent="0.25">
      <c r="A21" s="362" t="s">
        <v>471</v>
      </c>
      <c r="B21" s="113">
        <f>SUM('Table 3.19-CFS UAA'!J26,'Table 3.19-CFS UAA'!J57)/SUM('Table 3.19-CFS UAA'!B26,'Table 3.19-CFS UAA'!B57)</f>
        <v>0.46302257181994061</v>
      </c>
      <c r="C21" s="231" t="s">
        <v>236</v>
      </c>
      <c r="D21" s="403">
        <f>('Table 3.42-Vol Flows'!C15+'Table 3.42-Vol Flows'!H15)/('Table 3.42-Vol Flows'!M15)</f>
        <v>0.10136182769312536</v>
      </c>
      <c r="E21" s="231" t="s">
        <v>239</v>
      </c>
      <c r="F21" s="113">
        <f>B21*D21</f>
        <v>4.6932814142840583E-2</v>
      </c>
      <c r="H21" s="113">
        <f>'Table 3.19-CFS UAA'!K57</f>
        <v>0.46302257181994061</v>
      </c>
      <c r="I21" s="231" t="s">
        <v>236</v>
      </c>
      <c r="J21" s="403">
        <f>'Table 3.42-Vol Flows'!C15/'Table 3.42-Vol Flows'!K15</f>
        <v>1.4999999999999999E-2</v>
      </c>
      <c r="K21" s="231" t="s">
        <v>239</v>
      </c>
      <c r="L21" s="113">
        <f>H21*J21</f>
        <v>6.9453385772991092E-3</v>
      </c>
      <c r="N21" s="113">
        <f>'Table 3.19-CFS UAA'!K26</f>
        <v>0.46302257181994055</v>
      </c>
      <c r="O21" s="231" t="s">
        <v>236</v>
      </c>
      <c r="P21" s="403">
        <f>'Table 3.42-Vol Flows'!H15/'Table 3.42-Vol Flows'!L15</f>
        <v>1</v>
      </c>
      <c r="Q21" s="231" t="s">
        <v>239</v>
      </c>
      <c r="R21" s="113">
        <f>N21*P21</f>
        <v>0.46302257181994055</v>
      </c>
    </row>
    <row r="22" spans="1:21" x14ac:dyDescent="0.25">
      <c r="A22" s="313"/>
      <c r="B22" s="113"/>
      <c r="C22" s="231"/>
      <c r="D22" s="403"/>
      <c r="E22" s="231"/>
      <c r="F22" s="113"/>
      <c r="H22" s="113"/>
      <c r="I22" s="231"/>
      <c r="J22" s="403"/>
      <c r="K22" s="231"/>
      <c r="L22" s="113"/>
      <c r="N22" s="113"/>
      <c r="O22" s="231"/>
      <c r="P22" s="403"/>
      <c r="Q22" s="231"/>
      <c r="R22" s="113"/>
    </row>
    <row r="23" spans="1:21" x14ac:dyDescent="0.25">
      <c r="A23" s="313" t="s">
        <v>459</v>
      </c>
      <c r="B23" s="113"/>
      <c r="C23" s="231"/>
      <c r="D23" s="403"/>
      <c r="E23" s="231"/>
      <c r="F23" s="113"/>
      <c r="H23" s="113"/>
      <c r="I23" s="231"/>
      <c r="J23" s="403"/>
      <c r="K23" s="231"/>
      <c r="L23" s="113"/>
      <c r="N23" s="113"/>
      <c r="O23" s="231"/>
      <c r="P23" s="403"/>
      <c r="Q23" s="231"/>
      <c r="R23" s="113"/>
    </row>
    <row r="24" spans="1:21" x14ac:dyDescent="0.25">
      <c r="A24" s="362" t="s">
        <v>468</v>
      </c>
      <c r="B24" s="113">
        <f>H24</f>
        <v>0</v>
      </c>
      <c r="C24" s="231"/>
      <c r="D24" s="403">
        <f>'Table 3.43-Elec Notice'!D24+'Table 3.43-Elec Notice'!D25</f>
        <v>0.89863817230687459</v>
      </c>
      <c r="E24" s="231" t="s">
        <v>239</v>
      </c>
      <c r="F24" s="113">
        <f>B24*D24</f>
        <v>0</v>
      </c>
      <c r="H24" s="113">
        <v>0</v>
      </c>
      <c r="I24" s="231"/>
      <c r="J24" s="403">
        <f>'Table 3.43-Elec Notice'!J24+'Table 3.43-Elec Notice'!J25</f>
        <v>0.98499999999999999</v>
      </c>
      <c r="K24" s="231" t="s">
        <v>239</v>
      </c>
      <c r="L24" s="113">
        <f>H24*J24</f>
        <v>0</v>
      </c>
      <c r="N24" s="113">
        <v>0</v>
      </c>
      <c r="O24" s="231"/>
      <c r="P24" s="403">
        <v>0</v>
      </c>
      <c r="Q24" s="231"/>
      <c r="R24" s="113">
        <f>N24*P24</f>
        <v>0</v>
      </c>
    </row>
    <row r="25" spans="1:21" x14ac:dyDescent="0.25">
      <c r="A25" s="362" t="s">
        <v>469</v>
      </c>
      <c r="B25" s="113">
        <f>H25</f>
        <v>9.9377651578020615E-2</v>
      </c>
      <c r="C25" s="231" t="s">
        <v>238</v>
      </c>
      <c r="D25" s="407">
        <v>0</v>
      </c>
      <c r="E25" s="231"/>
      <c r="F25" s="113">
        <f>B25*D25</f>
        <v>0</v>
      </c>
      <c r="H25" s="113">
        <f>'Table 3.27-REC Detail ACS'!L50</f>
        <v>9.9377651578020615E-2</v>
      </c>
      <c r="I25" s="231" t="s">
        <v>238</v>
      </c>
      <c r="J25" s="407">
        <v>0</v>
      </c>
      <c r="K25" s="231"/>
      <c r="L25" s="113">
        <f>H25*J25</f>
        <v>0</v>
      </c>
      <c r="N25" s="113">
        <v>0</v>
      </c>
      <c r="O25" s="231"/>
      <c r="P25" s="403">
        <v>0</v>
      </c>
      <c r="Q25" s="231"/>
      <c r="R25" s="113">
        <f>N25*P25</f>
        <v>0</v>
      </c>
    </row>
    <row r="26" spans="1:21" x14ac:dyDescent="0.25">
      <c r="A26" s="362"/>
      <c r="B26" s="113"/>
      <c r="C26" s="231"/>
      <c r="D26" s="403"/>
      <c r="E26" s="231"/>
      <c r="F26" s="113"/>
      <c r="H26" s="113"/>
      <c r="I26" s="231"/>
      <c r="J26" s="403"/>
      <c r="K26" s="231"/>
      <c r="L26" s="113"/>
      <c r="N26" s="113"/>
      <c r="O26" s="231"/>
      <c r="P26" s="403"/>
      <c r="Q26" s="231"/>
      <c r="R26" s="113"/>
    </row>
    <row r="27" spans="1:21" x14ac:dyDescent="0.25">
      <c r="A27" s="196"/>
      <c r="B27" s="189"/>
      <c r="C27" s="189"/>
      <c r="D27" s="404"/>
      <c r="E27" s="197"/>
      <c r="F27" s="189">
        <f>SUM(F17:F25)</f>
        <v>8.3551938637855663E-2</v>
      </c>
      <c r="H27" s="189"/>
      <c r="I27" s="189"/>
      <c r="J27" s="404"/>
      <c r="K27" s="197"/>
      <c r="L27" s="189">
        <f>SUM(L17:L25)</f>
        <v>6.9453385772991092E-3</v>
      </c>
      <c r="N27" s="189"/>
      <c r="O27" s="189"/>
      <c r="P27" s="404"/>
      <c r="Q27" s="197"/>
      <c r="R27" s="189">
        <f>SUM(R17:R25)</f>
        <v>0.88068207013161315</v>
      </c>
    </row>
    <row r="28" spans="1:21" x14ac:dyDescent="0.25">
      <c r="B28" s="19"/>
      <c r="C28" s="19"/>
      <c r="D28" s="248"/>
      <c r="E28" s="86"/>
      <c r="F28" s="19"/>
      <c r="H28" s="19"/>
      <c r="I28" s="19"/>
      <c r="J28" s="248"/>
      <c r="K28" s="86"/>
      <c r="L28" s="19"/>
      <c r="N28" s="19"/>
      <c r="O28" s="19"/>
      <c r="P28" s="248"/>
      <c r="Q28" s="86"/>
      <c r="R28" s="19"/>
    </row>
    <row r="29" spans="1:21" x14ac:dyDescent="0.25">
      <c r="A29" s="193"/>
      <c r="B29" s="194"/>
      <c r="C29" s="194"/>
      <c r="D29" s="405" t="s">
        <v>131</v>
      </c>
      <c r="E29" s="198"/>
      <c r="F29" s="199" t="s">
        <v>211</v>
      </c>
      <c r="H29" s="194"/>
      <c r="I29" s="194"/>
      <c r="J29" s="405" t="s">
        <v>131</v>
      </c>
      <c r="K29" s="198"/>
      <c r="L29" s="199" t="s">
        <v>211</v>
      </c>
      <c r="N29" s="194"/>
      <c r="O29" s="194"/>
      <c r="P29" s="405" t="s">
        <v>131</v>
      </c>
      <c r="Q29" s="198"/>
      <c r="R29" s="199" t="s">
        <v>211</v>
      </c>
    </row>
    <row r="30" spans="1:21" x14ac:dyDescent="0.25">
      <c r="A30" s="180"/>
      <c r="B30" s="113"/>
      <c r="C30" s="113"/>
      <c r="D30" s="406" t="s">
        <v>103</v>
      </c>
      <c r="E30" s="200"/>
      <c r="F30" s="322" t="s">
        <v>104</v>
      </c>
      <c r="H30" s="113"/>
      <c r="I30" s="113"/>
      <c r="J30" s="406" t="s">
        <v>103</v>
      </c>
      <c r="K30" s="200"/>
      <c r="L30" s="322" t="s">
        <v>104</v>
      </c>
      <c r="N30" s="113"/>
      <c r="O30" s="113"/>
      <c r="P30" s="406" t="s">
        <v>103</v>
      </c>
      <c r="Q30" s="200"/>
      <c r="R30" s="322" t="s">
        <v>104</v>
      </c>
    </row>
    <row r="31" spans="1:21" x14ac:dyDescent="0.25">
      <c r="A31" s="236" t="s">
        <v>343</v>
      </c>
      <c r="B31" s="194">
        <f>F15</f>
        <v>0.10609228569378007</v>
      </c>
      <c r="C31" s="113"/>
      <c r="D31" s="403">
        <f>'Table 3.42-Vol Flows'!M8/SUM('Table 3.42-Vol Flows'!M8,'Table 3.42-Vol Flows'!M15)</f>
        <v>0.35245660422929925</v>
      </c>
      <c r="E31" s="231" t="s">
        <v>239</v>
      </c>
      <c r="F31" s="113">
        <f>B31*D31</f>
        <v>3.7392926750554389E-2</v>
      </c>
      <c r="H31" s="194">
        <f>L15</f>
        <v>8.6527453819958879E-3</v>
      </c>
      <c r="I31" s="113"/>
      <c r="J31" s="403">
        <f>'Table 3.42-Vol Flows'!K8/SUM('Table 3.42-Vol Flows'!K8,'Table 3.42-Vol Flows'!K15)</f>
        <v>0.33078819453968028</v>
      </c>
      <c r="K31" s="231" t="s">
        <v>239</v>
      </c>
      <c r="L31" s="113">
        <f>H31*J31</f>
        <v>2.862226022721976E-3</v>
      </c>
      <c r="N31" s="194">
        <f>R15</f>
        <v>0.57684969213305937</v>
      </c>
      <c r="O31" s="113"/>
      <c r="P31" s="403">
        <f>'Table 3.42-Vol Flows'!L8/SUM('Table 3.42-Vol Flows'!L8,'Table 3.42-Vol Flows'!L15)</f>
        <v>0.51564528010823996</v>
      </c>
      <c r="Q31" s="231" t="s">
        <v>239</v>
      </c>
      <c r="R31" s="113">
        <f>N31*P31</f>
        <v>0.29744982108030338</v>
      </c>
    </row>
    <row r="32" spans="1:21" x14ac:dyDescent="0.25">
      <c r="A32" s="235" t="s">
        <v>108</v>
      </c>
      <c r="B32" s="113">
        <f>F27</f>
        <v>8.3551938637855663E-2</v>
      </c>
      <c r="C32" s="113"/>
      <c r="D32" s="403">
        <f>'Table 3.42-Vol Flows'!M15/SUM('Table 3.42-Vol Flows'!M8,'Table 3.42-Vol Flows'!M15)</f>
        <v>0.64754339577070075</v>
      </c>
      <c r="E32" s="231" t="s">
        <v>239</v>
      </c>
      <c r="F32" s="113">
        <f>B32*D32</f>
        <v>5.4103506068782274E-2</v>
      </c>
      <c r="H32" s="113">
        <f>L27</f>
        <v>6.9453385772991092E-3</v>
      </c>
      <c r="I32" s="113"/>
      <c r="J32" s="403">
        <f>'Table 3.42-Vol Flows'!K15/SUM('Table 3.42-Vol Flows'!K8,'Table 3.42-Vol Flows'!K15)</f>
        <v>0.66921180546031966</v>
      </c>
      <c r="K32" s="231" t="s">
        <v>239</v>
      </c>
      <c r="L32" s="113">
        <f>H32*J32</f>
        <v>4.6479025688475452E-3</v>
      </c>
      <c r="N32" s="113">
        <f>R27</f>
        <v>0.88068207013161315</v>
      </c>
      <c r="O32" s="113"/>
      <c r="P32" s="403">
        <f>'Table 3.42-Vol Flows'!L15/SUM('Table 3.42-Vol Flows'!L8,'Table 3.42-Vol Flows'!L15)</f>
        <v>0.4843547198917601</v>
      </c>
      <c r="Q32" s="231" t="s">
        <v>239</v>
      </c>
      <c r="R32" s="113">
        <f>N32*P32</f>
        <v>0.42656251739229289</v>
      </c>
    </row>
    <row r="33" spans="1:18" x14ac:dyDescent="0.25">
      <c r="A33" s="180"/>
      <c r="B33" s="113"/>
      <c r="C33" s="113"/>
      <c r="D33" s="201"/>
      <c r="E33" s="201"/>
      <c r="F33" s="113"/>
      <c r="H33" s="113"/>
      <c r="I33" s="113"/>
      <c r="J33" s="403"/>
      <c r="K33" s="201"/>
      <c r="L33" s="113"/>
      <c r="N33" s="113"/>
      <c r="O33" s="113"/>
      <c r="P33" s="403"/>
      <c r="Q33" s="201"/>
      <c r="R33" s="113"/>
    </row>
    <row r="34" spans="1:18" ht="13" x14ac:dyDescent="0.3">
      <c r="A34" s="188" t="s">
        <v>132</v>
      </c>
      <c r="B34" s="189"/>
      <c r="C34" s="189"/>
      <c r="D34" s="404">
        <f>D31+D32</f>
        <v>1</v>
      </c>
      <c r="E34" s="202"/>
      <c r="F34" s="191">
        <f>F31+F32</f>
        <v>9.149643281933667E-2</v>
      </c>
      <c r="G34" s="87"/>
      <c r="H34" s="189"/>
      <c r="I34" s="189"/>
      <c r="J34" s="404">
        <f>J31+J32</f>
        <v>1</v>
      </c>
      <c r="K34" s="202"/>
      <c r="L34" s="191">
        <f>L31+L32</f>
        <v>7.5101285915695213E-3</v>
      </c>
      <c r="N34" s="189"/>
      <c r="O34" s="189"/>
      <c r="P34" s="404">
        <f>P31+P32</f>
        <v>1</v>
      </c>
      <c r="Q34" s="202"/>
      <c r="R34" s="191">
        <f>R31+R32</f>
        <v>0.72401233847259627</v>
      </c>
    </row>
    <row r="35" spans="1:18" hidden="1" x14ac:dyDescent="0.25"/>
    <row r="36" spans="1:18" hidden="1" x14ac:dyDescent="0.25">
      <c r="A36" s="13" t="s">
        <v>188</v>
      </c>
      <c r="B36" s="105">
        <f>B9-H9</f>
        <v>0</v>
      </c>
      <c r="D36" s="105">
        <f>SUM(D8:D13)-1</f>
        <v>0</v>
      </c>
      <c r="F36" s="167"/>
      <c r="H36" s="105">
        <f>H9-N9</f>
        <v>0</v>
      </c>
      <c r="J36" s="105">
        <f>SUM(J8:J13)-1</f>
        <v>0</v>
      </c>
      <c r="P36" s="105">
        <f>SUM(P8:P13)-1</f>
        <v>0</v>
      </c>
    </row>
    <row r="37" spans="1:18" hidden="1" x14ac:dyDescent="0.25">
      <c r="B37" s="105">
        <f>B21-H21</f>
        <v>0</v>
      </c>
      <c r="D37" s="105">
        <f>SUM(D20:D25)-1</f>
        <v>0</v>
      </c>
      <c r="E37" s="13"/>
      <c r="F37" s="167"/>
      <c r="H37" s="105">
        <f>H21-N21</f>
        <v>0</v>
      </c>
      <c r="J37" s="105">
        <f>SUM(J20:J25)-1</f>
        <v>0</v>
      </c>
      <c r="P37" s="105">
        <f>SUM(P20:P25)-1</f>
        <v>0</v>
      </c>
    </row>
    <row r="38" spans="1:18" hidden="1" x14ac:dyDescent="0.25">
      <c r="B38" s="167"/>
      <c r="D38" s="167"/>
      <c r="E38" s="13"/>
      <c r="F38" s="167"/>
      <c r="H38" s="167"/>
      <c r="J38" s="167"/>
      <c r="L38" s="167"/>
      <c r="P38" s="167"/>
      <c r="R38" s="167"/>
    </row>
    <row r="39" spans="1:18" x14ac:dyDescent="0.25">
      <c r="A39" s="204"/>
      <c r="B39" s="204"/>
      <c r="C39" s="204"/>
      <c r="D39" s="204"/>
    </row>
    <row r="40" spans="1:18" x14ac:dyDescent="0.25">
      <c r="A40" t="s">
        <v>235</v>
      </c>
      <c r="B40" s="161"/>
      <c r="C40" s="161"/>
    </row>
    <row r="41" spans="1:18" x14ac:dyDescent="0.25">
      <c r="A41" s="11" t="s">
        <v>92</v>
      </c>
    </row>
    <row r="42" spans="1:18" x14ac:dyDescent="0.25">
      <c r="A42" s="11" t="s">
        <v>36</v>
      </c>
    </row>
    <row r="43" spans="1:18" x14ac:dyDescent="0.25">
      <c r="A43" s="11" t="s">
        <v>23</v>
      </c>
    </row>
    <row r="44" spans="1:18" x14ac:dyDescent="0.25">
      <c r="A44" s="11" t="s">
        <v>474</v>
      </c>
    </row>
    <row r="45" spans="1:18" x14ac:dyDescent="0.25">
      <c r="A45" s="11" t="s">
        <v>671</v>
      </c>
    </row>
    <row r="46" spans="1:18" x14ac:dyDescent="0.25">
      <c r="A46" s="11" t="s">
        <v>9</v>
      </c>
    </row>
  </sheetData>
  <phoneticPr fontId="0" type="noConversion"/>
  <printOptions horizontalCentered="1"/>
  <pageMargins left="0.75" right="0.75" top="1" bottom="1" header="0.5" footer="0.5"/>
  <pageSetup scale="81" orientation="landscape" r:id="rId1"/>
  <headerFooter alignWithMargins="0">
    <oddFooter>&amp;L&amp;F</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1"/>
  <dimension ref="B3:G48"/>
  <sheetViews>
    <sheetView zoomScale="55" workbookViewId="0"/>
  </sheetViews>
  <sheetFormatPr defaultRowHeight="12.5" x14ac:dyDescent="0.25"/>
  <cols>
    <col min="3" max="3" width="13.6328125" customWidth="1"/>
  </cols>
  <sheetData>
    <row r="3" spans="2:7" x14ac:dyDescent="0.25">
      <c r="B3" s="169" t="s">
        <v>233</v>
      </c>
      <c r="C3" s="170" t="s">
        <v>234</v>
      </c>
    </row>
    <row r="4" spans="2:7" x14ac:dyDescent="0.25">
      <c r="B4" s="171">
        <v>1</v>
      </c>
      <c r="C4" s="240">
        <f>SUM('Table 3.1-UAA Summary'!E63:N65,'Table 3.1-UAA Summary'!J69:J74,'Table 3.1-UAA Summary'!P69:P76)</f>
        <v>0</v>
      </c>
      <c r="D4" s="11"/>
    </row>
    <row r="5" spans="2:7" x14ac:dyDescent="0.25">
      <c r="B5" s="171">
        <f>B4+1</f>
        <v>2</v>
      </c>
      <c r="C5" s="240">
        <f>SUM('Table 3.2-Total Fwd Summary'!B37:B39,'Table 3.2-Total Fwd Summary'!K37:K44)</f>
        <v>0</v>
      </c>
      <c r="D5" s="11"/>
    </row>
    <row r="6" spans="2:7" x14ac:dyDescent="0.25">
      <c r="B6" s="171">
        <f t="shared" ref="B6:B29" si="0">B5+1</f>
        <v>3</v>
      </c>
      <c r="C6" s="240">
        <f>SUM('Table 3.3-PARS Fwd Summary'!B32:B34,'Table 3.3-PARS Fwd Summary'!K32:K39)</f>
        <v>0</v>
      </c>
      <c r="D6" s="11"/>
      <c r="G6" s="11"/>
    </row>
    <row r="7" spans="2:7" x14ac:dyDescent="0.25">
      <c r="B7" s="171">
        <f t="shared" si="0"/>
        <v>4</v>
      </c>
      <c r="C7" s="240">
        <f>SUM('Table 3.4-NonPARS Fwd Summary'!K27:K32)</f>
        <v>0</v>
      </c>
      <c r="D7" s="11"/>
      <c r="G7" s="11"/>
    </row>
    <row r="8" spans="2:7" x14ac:dyDescent="0.25">
      <c r="B8" s="171">
        <f t="shared" si="0"/>
        <v>5</v>
      </c>
      <c r="C8" s="240">
        <f>SUM('Table 3.5-Total RTS Summary'!B41:B43,'Table 3.5-Total RTS Summary'!K41:K48)</f>
        <v>0</v>
      </c>
      <c r="D8" s="11"/>
      <c r="G8" s="11"/>
    </row>
    <row r="9" spans="2:7" x14ac:dyDescent="0.25">
      <c r="B9" s="171">
        <f t="shared" si="0"/>
        <v>6</v>
      </c>
      <c r="C9" s="240">
        <f>SUM('Table 3.6-PARS RTS Summary'!B71:B77,'Table 3.6-PARS RTS Summary'!K71:K78)</f>
        <v>0</v>
      </c>
      <c r="F9" s="11"/>
    </row>
    <row r="10" spans="2:7" x14ac:dyDescent="0.25">
      <c r="B10" s="171">
        <f t="shared" si="0"/>
        <v>7</v>
      </c>
      <c r="C10" s="240">
        <f>SUM('Table 3.7-NonPARS RTS Summary'!K32:K37)</f>
        <v>0</v>
      </c>
    </row>
    <row r="11" spans="2:7" x14ac:dyDescent="0.25">
      <c r="B11" s="171">
        <f t="shared" si="0"/>
        <v>8</v>
      </c>
      <c r="C11" s="240">
        <f>SUM('Table 3.8-Total Wst Summary'!B21:B23,'Table 3.8-Total Wst Summary'!K21:K26)</f>
        <v>0</v>
      </c>
    </row>
    <row r="12" spans="2:7" x14ac:dyDescent="0.25">
      <c r="B12" s="171">
        <f t="shared" si="0"/>
        <v>9</v>
      </c>
      <c r="C12" s="240">
        <f>SUM('Table 3.9-PARS Wst Summary'!B50:B55,'Table 3.9-PARS Wst Summary'!K50:K55)</f>
        <v>0</v>
      </c>
    </row>
    <row r="13" spans="2:7" x14ac:dyDescent="0.25">
      <c r="B13" s="171">
        <f t="shared" si="0"/>
        <v>10</v>
      </c>
      <c r="C13" s="240">
        <f>SUM('Table 3.10-NonPARS Wst Summary'!K22:K25)</f>
        <v>0</v>
      </c>
      <c r="D13" s="11"/>
    </row>
    <row r="14" spans="2:7" x14ac:dyDescent="0.25">
      <c r="B14" s="171">
        <f t="shared" si="0"/>
        <v>11</v>
      </c>
      <c r="C14" s="240">
        <f>SUM('Table 3.11-Form3547 Costs'!H72:H78,'Table 3.11-Form3547 Costs'!P72:P78)</f>
        <v>-1.1823431123048067E-11</v>
      </c>
      <c r="D14" s="11"/>
    </row>
    <row r="15" spans="2:7" x14ac:dyDescent="0.25">
      <c r="B15" s="171">
        <f t="shared" si="0"/>
        <v>12</v>
      </c>
      <c r="C15" s="240">
        <f>SUM('Table 3.12-Form3579 Costs'!H14:H15,'Table 3.12-Form3579 Costs'!P14)</f>
        <v>0</v>
      </c>
    </row>
    <row r="16" spans="2:7" x14ac:dyDescent="0.25">
      <c r="B16" s="171">
        <f t="shared" si="0"/>
        <v>13</v>
      </c>
      <c r="C16" s="240">
        <f>SUM('Table 3.13-COA Costs'!D81:H83)</f>
        <v>0</v>
      </c>
    </row>
    <row r="17" spans="2:4" x14ac:dyDescent="0.25">
      <c r="B17" s="171">
        <f t="shared" si="0"/>
        <v>14</v>
      </c>
      <c r="C17" s="240">
        <f>SUM('Table 3.14-Route UAA'!N7:P39,'Table 3.14-Route UAA'!N48:Q111,'Table 3.14-Route UAA'!B114:J118)</f>
        <v>7.2747585733168307E-10</v>
      </c>
    </row>
    <row r="18" spans="2:4" x14ac:dyDescent="0.25">
      <c r="B18" s="171">
        <f t="shared" si="0"/>
        <v>15</v>
      </c>
      <c r="C18" s="240">
        <f>SUM('Table 3.15-Route UAA NoPARS'!B114:J118)</f>
        <v>-2.3396751203108579E-10</v>
      </c>
      <c r="D18" s="11"/>
    </row>
    <row r="19" spans="2:4" x14ac:dyDescent="0.25">
      <c r="B19" s="171">
        <f t="shared" si="0"/>
        <v>16</v>
      </c>
      <c r="C19" s="240">
        <f>SUM('Table 3.16-Route UAA PARS'!B114:J118)</f>
        <v>-2.2521362552652135E-10</v>
      </c>
    </row>
    <row r="20" spans="2:4" x14ac:dyDescent="0.25">
      <c r="B20" s="171">
        <f t="shared" si="0"/>
        <v>17</v>
      </c>
      <c r="C20" s="240">
        <f>SUM('Table 3.17-No Record Mail'!B29:B31,'Table 3.17-No Record Mail'!J29:J31)</f>
        <v>0</v>
      </c>
    </row>
    <row r="21" spans="2:4" x14ac:dyDescent="0.25">
      <c r="B21" s="171">
        <f t="shared" si="0"/>
        <v>18</v>
      </c>
      <c r="C21" s="240">
        <f>SUM('Table 3.18-Nixie UAA'!B43:D48,'Table 3.18-Nixie UAA'!I43:J43)</f>
        <v>-2.9103830456733704E-10</v>
      </c>
    </row>
    <row r="22" spans="2:4" x14ac:dyDescent="0.25">
      <c r="B22" s="171">
        <f t="shared" si="0"/>
        <v>19</v>
      </c>
      <c r="C22" s="240">
        <f>SUM('Table 3.19-CFS UAA'!H96:H97,'Table 3.19-CFS UAA'!M96:M97,'Table 3.19-CFS UAA'!B99:B100,'Table 3.19-CFS UAA'!J99:J100,'Table 3.19-CFS UAA'!H102:H104,'Table 3.19-CFS UAA'!M102:M104,'Table 3.19-CFS UAA'!B106:B108,'Table 3.19-CFS UAA'!H106:H108,'Table 3.19-CFS UAA'!B110:D111)</f>
        <v>0</v>
      </c>
    </row>
    <row r="23" spans="2:4" x14ac:dyDescent="0.25">
      <c r="B23" s="171">
        <f t="shared" si="0"/>
        <v>20</v>
      </c>
      <c r="C23" s="240">
        <f>SUM('Table 3.20-CFS Non-CIOSS'!F90:F94,'Table 3.20-CFS Non-CIOSS'!B97:B101,'Table 3.20-CFS Non-CIOSS'!F103:F109,'Table 3.20-CFS Non-CIOSS'!B111:B114)</f>
        <v>0</v>
      </c>
    </row>
    <row r="24" spans="2:4" x14ac:dyDescent="0.25">
      <c r="B24" s="171">
        <f t="shared" si="0"/>
        <v>21</v>
      </c>
      <c r="C24" s="240">
        <f>SUM('Table 3.21-CFS CIOSS Rejs'!F90:F94,'Table 3.21-CFS CIOSS Rejs'!B97:B101,'Table 3.21-CFS CIOSS Rejs'!F103:F109,'Table 3.21-CFS CIOSS Rejs'!B111:B114)</f>
        <v>0</v>
      </c>
    </row>
    <row r="25" spans="2:4" x14ac:dyDescent="0.25">
      <c r="B25" s="171">
        <f t="shared" si="0"/>
        <v>22</v>
      </c>
      <c r="C25" s="240"/>
      <c r="D25" s="11"/>
    </row>
    <row r="26" spans="2:4" x14ac:dyDescent="0.25">
      <c r="B26" s="171">
        <f t="shared" si="0"/>
        <v>23</v>
      </c>
      <c r="C26" s="240">
        <f>SUM('Table 3.23-CIOSS Summary'!C16:J16)</f>
        <v>0</v>
      </c>
      <c r="D26" s="11"/>
    </row>
    <row r="27" spans="2:4" x14ac:dyDescent="0.25">
      <c r="B27" s="171">
        <f t="shared" si="0"/>
        <v>24</v>
      </c>
      <c r="C27" s="240">
        <f>SUM('Table 3.24-CIOSS Detail'!E42:F45)</f>
        <v>0</v>
      </c>
    </row>
    <row r="28" spans="2:4" x14ac:dyDescent="0.25">
      <c r="B28" s="171">
        <f t="shared" si="0"/>
        <v>25</v>
      </c>
      <c r="C28" s="240">
        <f>SUM('Table 3.25-REC Summary'!C20:N20)</f>
        <v>0</v>
      </c>
    </row>
    <row r="29" spans="2:4" x14ac:dyDescent="0.25">
      <c r="B29" s="171">
        <f t="shared" si="0"/>
        <v>26</v>
      </c>
      <c r="C29" s="240">
        <f>SUM('Table 3.26-REC Detail NonACS'!E52:F56,'Table 3.26-REC Detail NonACS'!K52:L52)</f>
        <v>0</v>
      </c>
    </row>
    <row r="30" spans="2:4" x14ac:dyDescent="0.25">
      <c r="B30" s="171">
        <f>B29+1</f>
        <v>27</v>
      </c>
      <c r="C30" s="240">
        <f>SUM('Table 3.27-REC Detail ACS'!E52:L56)</f>
        <v>0</v>
      </c>
    </row>
    <row r="31" spans="2:4" x14ac:dyDescent="0.25">
      <c r="B31" s="171">
        <f t="shared" ref="B31:B47" si="1">B30+1</f>
        <v>28</v>
      </c>
      <c r="C31" s="240">
        <f>SUM('Table 3.28-REC Volume'!E49:H52)</f>
        <v>0</v>
      </c>
    </row>
    <row r="32" spans="2:4" x14ac:dyDescent="0.25">
      <c r="B32" s="171">
        <f t="shared" si="1"/>
        <v>29</v>
      </c>
      <c r="C32" s="240"/>
    </row>
    <row r="33" spans="2:3" x14ac:dyDescent="0.25">
      <c r="B33" s="171">
        <f t="shared" si="1"/>
        <v>30</v>
      </c>
      <c r="C33" s="240">
        <f>SUM('Table 3.30-UAA MP Cost'!B36:F37)</f>
        <v>0</v>
      </c>
    </row>
    <row r="34" spans="2:3" x14ac:dyDescent="0.25">
      <c r="B34" s="171">
        <f t="shared" si="1"/>
        <v>31</v>
      </c>
      <c r="C34" s="240">
        <f>SUM('Table 3.31-Rating Post Due'!B29:I29)</f>
        <v>0</v>
      </c>
    </row>
    <row r="35" spans="2:3" x14ac:dyDescent="0.25">
      <c r="B35" s="171">
        <f t="shared" si="1"/>
        <v>32</v>
      </c>
      <c r="C35" s="240">
        <f>SUM('Table 3.32-Accounting Post Due'!C15:F21)</f>
        <v>0</v>
      </c>
    </row>
    <row r="36" spans="2:3" x14ac:dyDescent="0.25">
      <c r="B36" s="171">
        <f t="shared" si="1"/>
        <v>33</v>
      </c>
      <c r="C36" s="240">
        <f>SUM('Table 3.33-Delivery Post Due'!C22:D35)</f>
        <v>0</v>
      </c>
    </row>
    <row r="37" spans="2:3" x14ac:dyDescent="0.25">
      <c r="B37" s="171">
        <f t="shared" si="1"/>
        <v>34</v>
      </c>
      <c r="C37" s="240">
        <f>SUM('Table 3.34-Window Post Due'!C15:D19)</f>
        <v>0</v>
      </c>
    </row>
    <row r="38" spans="2:3" x14ac:dyDescent="0.25">
      <c r="B38" s="171">
        <f t="shared" si="1"/>
        <v>35</v>
      </c>
      <c r="C38" s="240"/>
    </row>
    <row r="39" spans="2:3" x14ac:dyDescent="0.25">
      <c r="B39" s="171">
        <f t="shared" si="1"/>
        <v>36</v>
      </c>
      <c r="C39" s="240">
        <f>'Table 3.36-Process Form 3546'!F19</f>
        <v>0</v>
      </c>
    </row>
    <row r="40" spans="2:3" x14ac:dyDescent="0.25">
      <c r="B40" s="171">
        <f t="shared" si="1"/>
        <v>37</v>
      </c>
      <c r="C40" s="240"/>
    </row>
    <row r="41" spans="2:3" x14ac:dyDescent="0.25">
      <c r="B41" s="171">
        <f t="shared" si="1"/>
        <v>38</v>
      </c>
      <c r="C41" s="240"/>
    </row>
    <row r="42" spans="2:3" x14ac:dyDescent="0.25">
      <c r="B42" s="171">
        <f t="shared" si="1"/>
        <v>39</v>
      </c>
      <c r="C42" s="240"/>
    </row>
    <row r="43" spans="2:3" x14ac:dyDescent="0.25">
      <c r="B43" s="171">
        <f t="shared" si="1"/>
        <v>40</v>
      </c>
      <c r="C43" s="240"/>
    </row>
    <row r="44" spans="2:3" x14ac:dyDescent="0.25">
      <c r="B44" s="171">
        <f t="shared" si="1"/>
        <v>41</v>
      </c>
      <c r="C44" s="240">
        <f>SUM('Table 3.41-Man Notice'!F37:F39)</f>
        <v>0</v>
      </c>
    </row>
    <row r="45" spans="2:3" x14ac:dyDescent="0.25">
      <c r="B45" s="171">
        <f t="shared" si="1"/>
        <v>42</v>
      </c>
      <c r="C45" s="240">
        <f>SUM('Table 3.42-Vol Flows'!B26:M30)</f>
        <v>-3.637978807091713E-12</v>
      </c>
    </row>
    <row r="46" spans="2:3" x14ac:dyDescent="0.25">
      <c r="B46" s="171">
        <f t="shared" si="1"/>
        <v>43</v>
      </c>
      <c r="C46" s="240">
        <f>SUM('Table 3.43-Elec Notice'!B36:R38)</f>
        <v>0</v>
      </c>
    </row>
    <row r="47" spans="2:3" x14ac:dyDescent="0.25">
      <c r="B47" s="172">
        <f t="shared" si="1"/>
        <v>44</v>
      </c>
      <c r="C47" s="241">
        <f>SUM('Table 3.44-One Code ACS'!B36:P37)</f>
        <v>0</v>
      </c>
    </row>
    <row r="48" spans="2:3" x14ac:dyDescent="0.25">
      <c r="C48" s="417">
        <f>SUM(C4:C47)</f>
        <v>-3.8204994723400887E-11</v>
      </c>
    </row>
  </sheetData>
  <phoneticPr fontId="5"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pageSetUpPr fitToPage="1"/>
  </sheetPr>
  <dimension ref="A1:K43"/>
  <sheetViews>
    <sheetView zoomScale="70" workbookViewId="0"/>
  </sheetViews>
  <sheetFormatPr defaultRowHeight="12.5" x14ac:dyDescent="0.25"/>
  <cols>
    <col min="1" max="1" width="50" customWidth="1"/>
    <col min="2" max="2" width="11.6328125" customWidth="1"/>
    <col min="3" max="3" width="3.453125" customWidth="1"/>
    <col min="4" max="4" width="11.6328125" customWidth="1"/>
    <col min="5" max="5" width="3.453125" customWidth="1"/>
    <col min="6" max="6" width="11.6328125" customWidth="1"/>
    <col min="7" max="7" width="3.453125" customWidth="1"/>
    <col min="8" max="8" width="11.6328125" customWidth="1"/>
    <col min="9" max="9" width="3.453125" customWidth="1"/>
    <col min="10" max="10" width="11.6328125" customWidth="1"/>
  </cols>
  <sheetData>
    <row r="1" spans="1:11" s="12" customFormat="1" ht="15.5" x14ac:dyDescent="0.35">
      <c r="A1" s="117" t="s">
        <v>548</v>
      </c>
      <c r="B1" s="16"/>
      <c r="C1" s="16"/>
      <c r="D1" s="16"/>
      <c r="E1" s="16"/>
      <c r="F1" s="16"/>
      <c r="G1" s="16"/>
      <c r="H1" s="16"/>
      <c r="I1" s="16"/>
      <c r="J1" s="16"/>
    </row>
    <row r="2" spans="1:11" s="12" customFormat="1" ht="15.5" x14ac:dyDescent="0.35">
      <c r="A2" s="117" t="s">
        <v>787</v>
      </c>
      <c r="B2" s="16"/>
      <c r="C2" s="16"/>
      <c r="D2" s="16"/>
      <c r="E2" s="16"/>
      <c r="F2" s="16"/>
      <c r="G2" s="16"/>
      <c r="H2" s="16"/>
      <c r="I2" s="16"/>
      <c r="J2" s="16"/>
    </row>
    <row r="3" spans="1:11" ht="25" x14ac:dyDescent="0.25">
      <c r="B3" s="125" t="s">
        <v>109</v>
      </c>
      <c r="C3" s="125"/>
      <c r="D3" s="126" t="s">
        <v>104</v>
      </c>
      <c r="E3" s="126"/>
      <c r="F3" s="125" t="s">
        <v>110</v>
      </c>
      <c r="G3" s="125"/>
      <c r="H3" s="127" t="s">
        <v>97</v>
      </c>
      <c r="I3" s="127"/>
      <c r="J3" s="128" t="s">
        <v>105</v>
      </c>
    </row>
    <row r="4" spans="1:11" ht="13" x14ac:dyDescent="0.3">
      <c r="A4" s="14" t="s">
        <v>595</v>
      </c>
    </row>
    <row r="5" spans="1:11" x14ac:dyDescent="0.25">
      <c r="A5" s="258" t="s">
        <v>307</v>
      </c>
      <c r="B5" s="6">
        <f>'Table 3.15-Route UAA NoPARS'!D102</f>
        <v>36102.169892335434</v>
      </c>
      <c r="C5" s="11" t="s">
        <v>240</v>
      </c>
      <c r="D5" s="61">
        <f>F5/B5</f>
        <v>0.11289668957282348</v>
      </c>
      <c r="F5" s="108">
        <f>'Table 3.15-Route UAA NoPARS'!J102</f>
        <v>4075.8154672403275</v>
      </c>
      <c r="G5" s="11" t="s">
        <v>240</v>
      </c>
      <c r="H5" s="99">
        <f>B5/$B$24</f>
        <v>0.61600801534827954</v>
      </c>
      <c r="J5" s="19">
        <f>D5*H5</f>
        <v>6.9545265683145799E-2</v>
      </c>
    </row>
    <row r="6" spans="1:11" x14ac:dyDescent="0.25">
      <c r="A6" s="166" t="s">
        <v>520</v>
      </c>
      <c r="B6" s="6">
        <f>SUM('Table 3.18-Nixie UAA'!D15,'Table 3.18-Nixie UAA'!D24)</f>
        <v>36102.169892335449</v>
      </c>
      <c r="C6" s="11" t="s">
        <v>241</v>
      </c>
      <c r="D6" s="61">
        <f>F6/B6</f>
        <v>0.14798899260750212</v>
      </c>
      <c r="F6" s="108">
        <f>SUM('Table 3.18-Nixie UAA'!I15,'Table 3.18-Nixie UAA'!I24)</f>
        <v>5342.7237533116167</v>
      </c>
      <c r="G6" s="11" t="s">
        <v>241</v>
      </c>
      <c r="H6" s="99">
        <f>B6/$B$24</f>
        <v>0.61600801534827976</v>
      </c>
      <c r="J6" s="19">
        <f>D6*H6</f>
        <v>9.1162405629538618E-2</v>
      </c>
    </row>
    <row r="7" spans="1:11" x14ac:dyDescent="0.25">
      <c r="A7" s="258" t="s">
        <v>98</v>
      </c>
      <c r="B7" s="6">
        <f>SUM('Table 3.31-Rating Post Due'!B12,'Table 3.31-Rating Post Due'!B20)</f>
        <v>258.19544757192983</v>
      </c>
      <c r="C7" s="11" t="s">
        <v>242</v>
      </c>
      <c r="D7" s="61">
        <f>F7/B7</f>
        <v>0.22547763217917374</v>
      </c>
      <c r="F7" s="108">
        <f>SUM('Table 3.31-Rating Post Due'!H12,'Table 3.31-Rating Post Due'!H20)</f>
        <v>58.217298157960734</v>
      </c>
      <c r="G7" s="11" t="s">
        <v>242</v>
      </c>
      <c r="H7" s="99">
        <f>B7/$B$24</f>
        <v>4.4055652528661995E-3</v>
      </c>
      <c r="J7" s="19">
        <f>D7*H7</f>
        <v>9.9335642162711357E-4</v>
      </c>
    </row>
    <row r="8" spans="1:11" x14ac:dyDescent="0.25">
      <c r="A8" s="258" t="s">
        <v>102</v>
      </c>
      <c r="B8" s="6">
        <f>B5</f>
        <v>36102.169892335434</v>
      </c>
      <c r="D8" s="61">
        <f>F8/B8</f>
        <v>0.2624982527912218</v>
      </c>
      <c r="F8" s="108">
        <f>SUM(F5:F7)</f>
        <v>9476.7565187099044</v>
      </c>
      <c r="J8" s="19">
        <f>SUM(J5:J7)</f>
        <v>0.16170102773431155</v>
      </c>
    </row>
    <row r="9" spans="1:11" ht="5.15" customHeight="1" x14ac:dyDescent="0.25">
      <c r="B9" s="6"/>
      <c r="D9" s="61"/>
      <c r="F9" s="108"/>
      <c r="H9" s="6"/>
      <c r="K9" s="6"/>
    </row>
    <row r="10" spans="1:11" ht="13" x14ac:dyDescent="0.3">
      <c r="A10" s="14" t="s">
        <v>596</v>
      </c>
      <c r="B10" s="6"/>
      <c r="D10" s="61"/>
      <c r="F10" s="108"/>
      <c r="H10" s="104"/>
    </row>
    <row r="11" spans="1:11" ht="12.75" customHeight="1" x14ac:dyDescent="0.25">
      <c r="A11" s="258" t="s">
        <v>307</v>
      </c>
      <c r="B11" s="6">
        <f>'Table 3.15-Route UAA NoPARS'!D106</f>
        <v>22504.486178404059</v>
      </c>
      <c r="C11" s="11" t="s">
        <v>240</v>
      </c>
      <c r="D11" s="61">
        <f>F11/B11</f>
        <v>9.0963677159523193E-2</v>
      </c>
      <c r="F11" s="108">
        <f>'Table 3.15-Route UAA NoPARS'!J106</f>
        <v>2047.0908153732987</v>
      </c>
      <c r="G11" s="11" t="s">
        <v>240</v>
      </c>
      <c r="H11" s="99">
        <f>B11/$B$24</f>
        <v>0.38399198465172041</v>
      </c>
      <c r="J11" s="19">
        <f>D11*H11</f>
        <v>3.4929322923703682E-2</v>
      </c>
    </row>
    <row r="12" spans="1:11" ht="12.75" customHeight="1" x14ac:dyDescent="0.25">
      <c r="A12" s="166" t="s">
        <v>96</v>
      </c>
      <c r="B12" s="6">
        <f>'Table 3.20-CFS Non-CIOSS'!B9</f>
        <v>22504.486178404062</v>
      </c>
      <c r="C12" s="11" t="s">
        <v>243</v>
      </c>
      <c r="D12" s="61">
        <f>F12/B12</f>
        <v>0.31369060299387663</v>
      </c>
      <c r="F12" s="108">
        <f>'Table 3.20-CFS Non-CIOSS'!H9</f>
        <v>7059.4458393709328</v>
      </c>
      <c r="G12" s="11" t="s">
        <v>243</v>
      </c>
      <c r="H12" s="99">
        <f>B12/$B$24</f>
        <v>0.38399198465172046</v>
      </c>
      <c r="J12" s="19">
        <f>D12*H12</f>
        <v>0.12045467721021361</v>
      </c>
    </row>
    <row r="13" spans="1:11" x14ac:dyDescent="0.25">
      <c r="A13" s="166" t="s">
        <v>310</v>
      </c>
      <c r="B13" s="6">
        <f>'Table 3.20-CFS Non-CIOSS'!B45+'Table 3.20-CFS Non-CIOSS'!B56</f>
        <v>803.86122698205486</v>
      </c>
      <c r="C13" s="11" t="s">
        <v>243</v>
      </c>
      <c r="D13" s="61">
        <f>F13/B13</f>
        <v>0.41499339454114131</v>
      </c>
      <c r="E13" s="205"/>
      <c r="F13" s="6">
        <f>'Table 3.20-CFS Non-CIOSS'!H45+'Table 3.20-CFS Non-CIOSS'!H56</f>
        <v>333.59709932528983</v>
      </c>
      <c r="G13" s="11" t="s">
        <v>243</v>
      </c>
      <c r="H13" s="99">
        <f>B13/$B$24</f>
        <v>1.3716210425173842E-2</v>
      </c>
      <c r="J13" s="19">
        <f>D13*H13</f>
        <v>5.6921367245834839E-3</v>
      </c>
    </row>
    <row r="14" spans="1:11" x14ac:dyDescent="0.25">
      <c r="A14" s="258" t="s">
        <v>102</v>
      </c>
      <c r="B14" s="6">
        <f>B11</f>
        <v>22504.486178404059</v>
      </c>
      <c r="C14" s="205"/>
      <c r="D14" s="61">
        <f>F14/B14</f>
        <v>0.41947786229078809</v>
      </c>
      <c r="E14" s="205"/>
      <c r="F14" s="108">
        <f>SUM(F11:F13)</f>
        <v>9440.1337540695222</v>
      </c>
      <c r="H14" s="104"/>
      <c r="J14" s="61">
        <f>SUM(J11:J13)</f>
        <v>0.16107613685850078</v>
      </c>
    </row>
    <row r="15" spans="1:11" ht="5.15" customHeight="1" x14ac:dyDescent="0.25">
      <c r="A15" s="60"/>
      <c r="B15" s="6"/>
      <c r="F15" s="108"/>
      <c r="H15" s="104"/>
    </row>
    <row r="16" spans="1:11" ht="12.75" customHeight="1" x14ac:dyDescent="0.3">
      <c r="A16" s="14" t="s">
        <v>579</v>
      </c>
      <c r="B16" s="6"/>
      <c r="F16" s="108"/>
      <c r="H16" s="104"/>
    </row>
    <row r="17" spans="1:11" ht="12.75" customHeight="1" x14ac:dyDescent="0.25">
      <c r="A17" s="258" t="s">
        <v>320</v>
      </c>
      <c r="B17" s="6">
        <f>SUM(B8,B14)</f>
        <v>58606.656070739496</v>
      </c>
      <c r="D17" s="61">
        <f>'Table 3.30-UAA MP Cost'!D16</f>
        <v>0.441396405365716</v>
      </c>
      <c r="E17" s="11" t="s">
        <v>586</v>
      </c>
      <c r="F17" s="108">
        <f>B17*D17</f>
        <v>25868.767320129231</v>
      </c>
      <c r="H17" s="99">
        <f>B17/$B$24</f>
        <v>1</v>
      </c>
      <c r="J17" s="19">
        <f>D17*H17</f>
        <v>0.441396405365716</v>
      </c>
    </row>
    <row r="18" spans="1:11" x14ac:dyDescent="0.25">
      <c r="A18" s="258" t="s">
        <v>99</v>
      </c>
      <c r="B18" s="6">
        <f>'Table 3.35-PD Vols'!D6</f>
        <v>1062.0566745539847</v>
      </c>
      <c r="C18" s="11" t="s">
        <v>244</v>
      </c>
      <c r="D18" s="61">
        <f>'Table 3.32-Accounting Post Due'!I7</f>
        <v>3.2507701047636774</v>
      </c>
      <c r="E18" s="11" t="s">
        <v>587</v>
      </c>
      <c r="F18" s="108">
        <f>B18*D18</f>
        <v>3452.5020872048199</v>
      </c>
      <c r="H18" s="99">
        <f>B18/$B$24</f>
        <v>1.812177567804004E-2</v>
      </c>
      <c r="J18" s="19">
        <f>D18*H18</f>
        <v>5.8909726619406085E-2</v>
      </c>
    </row>
    <row r="19" spans="1:11" x14ac:dyDescent="0.25">
      <c r="A19" s="258" t="s">
        <v>100</v>
      </c>
      <c r="B19" s="6">
        <f>'Table 3.35-PD Vols'!D7</f>
        <v>791.03251917893294</v>
      </c>
      <c r="C19" s="11" t="s">
        <v>244</v>
      </c>
      <c r="D19" s="61">
        <f>'Table 3.33-Delivery Post Due'!I11</f>
        <v>0.89988403767786551</v>
      </c>
      <c r="E19" s="11" t="s">
        <v>590</v>
      </c>
      <c r="F19" s="108">
        <f>B19*D19</f>
        <v>711.83753729323178</v>
      </c>
      <c r="H19" s="99">
        <f>B19/$B$24</f>
        <v>1.3497315359950577E-2</v>
      </c>
      <c r="J19" s="19">
        <f>D19*H19</f>
        <v>1.2146018643923798E-2</v>
      </c>
    </row>
    <row r="20" spans="1:11" x14ac:dyDescent="0.25">
      <c r="A20" s="258" t="s">
        <v>210</v>
      </c>
      <c r="B20" s="6">
        <f>'Table 3.35-PD Vols'!D8</f>
        <v>271.02415537505181</v>
      </c>
      <c r="C20" s="11" t="s">
        <v>244</v>
      </c>
      <c r="D20" s="61">
        <f>'Table 3.34-Window Post Due'!I7</f>
        <v>0.49923740110555226</v>
      </c>
      <c r="E20" s="11" t="s">
        <v>591</v>
      </c>
      <c r="F20" s="108">
        <f>B20*D20</f>
        <v>135.30539496626827</v>
      </c>
      <c r="H20" s="99">
        <f>B20/$B$24</f>
        <v>4.624460318089464E-3</v>
      </c>
      <c r="J20" s="19">
        <f>D20*H20</f>
        <v>2.3087035507187393E-3</v>
      </c>
    </row>
    <row r="21" spans="1:11" x14ac:dyDescent="0.25">
      <c r="A21" s="258" t="s">
        <v>101</v>
      </c>
      <c r="B21" s="6">
        <f>'Table 3.36-Process Form 3546'!B4</f>
        <v>664.20803218916615</v>
      </c>
      <c r="C21" s="11" t="s">
        <v>582</v>
      </c>
      <c r="D21" s="61">
        <f>'Table 3.36-Process Form 3546'!J17</f>
        <v>5.403610386172959</v>
      </c>
      <c r="E21" s="11" t="s">
        <v>582</v>
      </c>
      <c r="F21" s="108">
        <f>B21*D21</f>
        <v>3589.1214213168814</v>
      </c>
      <c r="H21" s="99">
        <f>B21/$B$24</f>
        <v>1.133332076458095E-2</v>
      </c>
      <c r="J21" s="19">
        <f>D21*H21</f>
        <v>6.1240849793319278E-2</v>
      </c>
    </row>
    <row r="22" spans="1:11" x14ac:dyDescent="0.25">
      <c r="A22" s="60" t="s">
        <v>102</v>
      </c>
      <c r="B22" s="6">
        <f>B17</f>
        <v>58606.656070739496</v>
      </c>
      <c r="D22" s="61">
        <f>F22/B22</f>
        <v>0.57600170397308392</v>
      </c>
      <c r="F22" s="108">
        <f>SUM(F17:F21)</f>
        <v>33757.533760910432</v>
      </c>
      <c r="H22" s="104"/>
      <c r="J22" s="19">
        <f>SUM(J17:J21)</f>
        <v>0.57600170397308392</v>
      </c>
    </row>
    <row r="23" spans="1:11" ht="5.15" customHeight="1" x14ac:dyDescent="0.3">
      <c r="A23" s="14"/>
      <c r="B23" s="6"/>
      <c r="D23" s="61"/>
      <c r="F23" s="108"/>
      <c r="H23" s="104"/>
    </row>
    <row r="24" spans="1:11" ht="13" x14ac:dyDescent="0.3">
      <c r="A24" s="14" t="s">
        <v>494</v>
      </c>
      <c r="B24" s="260">
        <f>SUM(B8,B14)</f>
        <v>58606.656070739496</v>
      </c>
      <c r="D24" s="61"/>
      <c r="F24" s="368">
        <f>SUM(F8,F14,F22)</f>
        <v>52674.424033689858</v>
      </c>
      <c r="H24" s="104"/>
      <c r="J24" s="311">
        <f>SUM(J8,J14,J22)</f>
        <v>0.89877886856589628</v>
      </c>
    </row>
    <row r="25" spans="1:11" ht="13" hidden="1" x14ac:dyDescent="0.3">
      <c r="A25" s="14"/>
      <c r="B25" s="6"/>
      <c r="D25" s="61"/>
      <c r="F25" s="108"/>
      <c r="H25" s="104"/>
    </row>
    <row r="26" spans="1:11" ht="13" hidden="1" x14ac:dyDescent="0.3">
      <c r="A26" s="5"/>
      <c r="B26" s="167"/>
      <c r="F26" s="262"/>
      <c r="H26" s="6"/>
      <c r="J26" s="6"/>
    </row>
    <row r="27" spans="1:11" hidden="1" x14ac:dyDescent="0.25">
      <c r="A27" s="20" t="s">
        <v>191</v>
      </c>
      <c r="B27" s="167"/>
      <c r="G27" s="365" t="s">
        <v>311</v>
      </c>
      <c r="H27" s="6">
        <f>SUM('Table 3.15-Route UAA NoPARS'!J102,'Table 3.15-Route UAA NoPARS'!J106)</f>
        <v>6122.906282613626</v>
      </c>
      <c r="J27" s="6">
        <f>SUM(F5,F11)</f>
        <v>6122.906282613626</v>
      </c>
      <c r="K27" s="105">
        <f t="shared" ref="K27:K32" si="0">H27-J27</f>
        <v>0</v>
      </c>
    </row>
    <row r="28" spans="1:11" ht="13" hidden="1" x14ac:dyDescent="0.3">
      <c r="A28" s="5"/>
      <c r="B28" s="167"/>
      <c r="G28" s="36" t="s">
        <v>312</v>
      </c>
      <c r="H28" s="6">
        <f>SUM('Table 3.18-Nixie UAA'!I15,'Table 3.18-Nixie UAA'!I24)+SUM('Table 3.31-Rating Post Due'!H12,'Table 3.31-Rating Post Due'!H20)</f>
        <v>5400.9410514695774</v>
      </c>
      <c r="J28" s="6">
        <f>SUM(F6:F7)</f>
        <v>5400.9410514695774</v>
      </c>
      <c r="K28" s="105">
        <f t="shared" si="0"/>
        <v>0</v>
      </c>
    </row>
    <row r="29" spans="1:11" ht="13" hidden="1" x14ac:dyDescent="0.3">
      <c r="A29" s="5"/>
      <c r="B29" s="167"/>
      <c r="G29" s="36" t="s">
        <v>313</v>
      </c>
      <c r="H29" s="6">
        <f>SUM('Table 3.20-CFS Non-CIOSS'!H9,'Table 3.20-CFS Non-CIOSS'!H45,'Table 3.20-CFS Non-CIOSS'!H56)</f>
        <v>7393.0429386962223</v>
      </c>
      <c r="J29" s="6">
        <f>SUM(F12:F13)</f>
        <v>7393.0429386962223</v>
      </c>
      <c r="K29" s="105">
        <f t="shared" si="0"/>
        <v>0</v>
      </c>
    </row>
    <row r="30" spans="1:11" ht="13" hidden="1" x14ac:dyDescent="0.3">
      <c r="A30" s="5"/>
      <c r="B30" s="167"/>
      <c r="G30" s="36" t="s">
        <v>518</v>
      </c>
      <c r="H30" s="6">
        <f>'Table 3.30-UAA MP Cost'!F16</f>
        <v>25868.767320129235</v>
      </c>
      <c r="J30" s="6">
        <f>F17</f>
        <v>25868.767320129231</v>
      </c>
      <c r="K30" s="105">
        <f t="shared" si="0"/>
        <v>0</v>
      </c>
    </row>
    <row r="31" spans="1:11" ht="13" hidden="1" x14ac:dyDescent="0.3">
      <c r="A31" s="5"/>
      <c r="G31" s="36" t="s">
        <v>315</v>
      </c>
      <c r="H31" s="6">
        <f>SUM(F18:F21)</f>
        <v>7888.7664407812008</v>
      </c>
      <c r="J31" s="6">
        <f>SUM(F18:F21)</f>
        <v>7888.7664407812008</v>
      </c>
      <c r="K31" s="105">
        <f t="shared" si="0"/>
        <v>0</v>
      </c>
    </row>
    <row r="32" spans="1:11" ht="13" hidden="1" x14ac:dyDescent="0.3">
      <c r="A32" s="5"/>
      <c r="B32" s="167"/>
      <c r="G32" s="36" t="s">
        <v>314</v>
      </c>
      <c r="H32" s="6">
        <f>SUM(H27:H31)</f>
        <v>52674.424033689866</v>
      </c>
      <c r="J32" s="6">
        <f>SUM(J27:J31)</f>
        <v>52674.424033689851</v>
      </c>
      <c r="K32" s="105">
        <f t="shared" si="0"/>
        <v>0</v>
      </c>
    </row>
    <row r="33" spans="1:10" x14ac:dyDescent="0.25">
      <c r="A33" s="204"/>
      <c r="B33" s="204"/>
      <c r="C33" s="204"/>
      <c r="D33" s="204"/>
      <c r="E33" s="204"/>
      <c r="F33" s="204"/>
      <c r="H33" s="167"/>
    </row>
    <row r="34" spans="1:10" x14ac:dyDescent="0.25">
      <c r="A34" s="12" t="s">
        <v>235</v>
      </c>
    </row>
    <row r="35" spans="1:10" x14ac:dyDescent="0.25">
      <c r="A35" s="11" t="s">
        <v>597</v>
      </c>
      <c r="C35" s="11" t="s">
        <v>684</v>
      </c>
      <c r="D35" s="11"/>
    </row>
    <row r="36" spans="1:10" x14ac:dyDescent="0.25">
      <c r="A36" s="11" t="s">
        <v>598</v>
      </c>
      <c r="C36" s="11" t="s">
        <v>685</v>
      </c>
      <c r="D36" s="11"/>
      <c r="F36" s="6"/>
      <c r="H36" s="161"/>
      <c r="J36" s="6"/>
    </row>
    <row r="37" spans="1:10" x14ac:dyDescent="0.25">
      <c r="A37" s="11" t="s">
        <v>581</v>
      </c>
      <c r="C37" s="11" t="s">
        <v>686</v>
      </c>
      <c r="D37" s="11"/>
      <c r="F37" s="6"/>
      <c r="H37" s="161"/>
      <c r="J37" s="6"/>
    </row>
    <row r="38" spans="1:10" x14ac:dyDescent="0.25">
      <c r="A38" s="11" t="s">
        <v>599</v>
      </c>
      <c r="C38" s="11" t="s">
        <v>687</v>
      </c>
      <c r="F38" s="6"/>
      <c r="H38" s="161"/>
      <c r="J38" s="6"/>
    </row>
    <row r="39" spans="1:10" x14ac:dyDescent="0.25">
      <c r="A39" s="11" t="s">
        <v>600</v>
      </c>
      <c r="C39" s="11" t="s">
        <v>688</v>
      </c>
      <c r="F39" s="6"/>
      <c r="H39" s="161"/>
      <c r="J39" s="6"/>
    </row>
    <row r="40" spans="1:10" x14ac:dyDescent="0.25">
      <c r="A40" s="11" t="s">
        <v>22</v>
      </c>
      <c r="C40" s="11" t="s">
        <v>689</v>
      </c>
      <c r="J40" s="6"/>
    </row>
    <row r="41" spans="1:10" x14ac:dyDescent="0.25">
      <c r="A41" s="11" t="s">
        <v>601</v>
      </c>
    </row>
    <row r="42" spans="1:10" x14ac:dyDescent="0.25">
      <c r="J42" s="6"/>
    </row>
    <row r="43" spans="1:10" x14ac:dyDescent="0.25">
      <c r="J43" s="99"/>
    </row>
  </sheetData>
  <phoneticPr fontId="5" type="noConversion"/>
  <printOptions horizontalCentered="1"/>
  <pageMargins left="0.75" right="0.75" top="1" bottom="1" header="0.5" footer="0.5"/>
  <pageSetup orientation="landscape" r:id="rId1"/>
  <headerFooter alignWithMargins="0">
    <oddFooter>&amp;L&amp;F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pageSetUpPr fitToPage="1"/>
  </sheetPr>
  <dimension ref="A1:K56"/>
  <sheetViews>
    <sheetView zoomScale="70" workbookViewId="0"/>
  </sheetViews>
  <sheetFormatPr defaultRowHeight="12.5" x14ac:dyDescent="0.25"/>
  <cols>
    <col min="1" max="1" width="50" customWidth="1"/>
    <col min="2" max="2" width="11.6328125" customWidth="1"/>
    <col min="3" max="3" width="3.453125" customWidth="1"/>
    <col min="4" max="4" width="11.6328125" customWidth="1"/>
    <col min="5" max="5" width="3.453125" customWidth="1"/>
    <col min="6" max="6" width="11.6328125" customWidth="1"/>
    <col min="7" max="7" width="3.453125" customWidth="1"/>
    <col min="8" max="8" width="11.6328125" customWidth="1"/>
    <col min="9" max="9" width="3.453125" customWidth="1"/>
    <col min="10" max="10" width="11.6328125" customWidth="1"/>
  </cols>
  <sheetData>
    <row r="1" spans="1:10" s="12" customFormat="1" ht="15.5" x14ac:dyDescent="0.35">
      <c r="A1" s="117" t="s">
        <v>549</v>
      </c>
      <c r="B1" s="16"/>
      <c r="C1" s="16"/>
      <c r="D1" s="16"/>
      <c r="E1" s="16"/>
      <c r="F1" s="16"/>
      <c r="G1" s="16"/>
      <c r="H1" s="16"/>
      <c r="I1" s="16"/>
      <c r="J1" s="16"/>
    </row>
    <row r="2" spans="1:10" s="12" customFormat="1" ht="15.5" x14ac:dyDescent="0.35">
      <c r="A2" s="117" t="s">
        <v>787</v>
      </c>
      <c r="B2" s="16"/>
      <c r="C2" s="16"/>
      <c r="D2" s="16"/>
      <c r="E2" s="16"/>
      <c r="F2" s="16"/>
      <c r="G2" s="16"/>
      <c r="H2" s="16"/>
      <c r="I2" s="16"/>
      <c r="J2" s="16"/>
    </row>
    <row r="3" spans="1:10" ht="25" x14ac:dyDescent="0.25">
      <c r="B3" s="125" t="s">
        <v>109</v>
      </c>
      <c r="C3" s="125"/>
      <c r="D3" s="126" t="s">
        <v>104</v>
      </c>
      <c r="E3" s="126"/>
      <c r="F3" s="125" t="s">
        <v>110</v>
      </c>
      <c r="G3" s="125"/>
      <c r="H3" s="127" t="s">
        <v>97</v>
      </c>
      <c r="I3" s="127"/>
      <c r="J3" s="128" t="s">
        <v>105</v>
      </c>
    </row>
    <row r="4" spans="1:10" ht="12.75" customHeight="1" x14ac:dyDescent="0.3">
      <c r="A4" s="14"/>
    </row>
    <row r="5" spans="1:10" ht="12.75" customHeight="1" x14ac:dyDescent="0.3">
      <c r="A5" s="14" t="s">
        <v>574</v>
      </c>
      <c r="B5" s="6"/>
      <c r="D5" s="61"/>
      <c r="F5" s="108"/>
    </row>
    <row r="6" spans="1:10" ht="12.75" customHeight="1" x14ac:dyDescent="0.25">
      <c r="A6" s="166" t="s">
        <v>12</v>
      </c>
      <c r="B6" s="6">
        <f>'Table 3.6-PARS RTS Summary'!B10</f>
        <v>21230.180838579075</v>
      </c>
      <c r="D6" s="61">
        <f t="shared" ref="D6:D12" si="0">F6/B6</f>
        <v>0.1334384171607651</v>
      </c>
      <c r="F6" s="108">
        <f>'Table 3.6-PARS RTS Summary'!F10</f>
        <v>2832.9217271367966</v>
      </c>
      <c r="H6" s="99">
        <f t="shared" ref="H6:H12" si="1">B6/$B$38</f>
        <v>1.6828078785293386E-2</v>
      </c>
      <c r="J6" s="19">
        <f t="shared" ref="J6:J11" si="2">D6*H6</f>
        <v>2.2455121969662001E-3</v>
      </c>
    </row>
    <row r="7" spans="1:10" ht="12.75" customHeight="1" x14ac:dyDescent="0.25">
      <c r="A7" s="258" t="s">
        <v>506</v>
      </c>
      <c r="B7" s="6">
        <f>'Table 3.6-PARS RTS Summary'!B18</f>
        <v>207934.93083127271</v>
      </c>
      <c r="D7" s="61">
        <f t="shared" si="0"/>
        <v>0.14073157545640005</v>
      </c>
      <c r="F7" s="108">
        <f>'Table 3.6-PARS RTS Summary'!F18</f>
        <v>29263.01040830258</v>
      </c>
      <c r="H7" s="99">
        <f t="shared" si="1"/>
        <v>0.16481938730755452</v>
      </c>
      <c r="J7" s="19">
        <f t="shared" si="2"/>
        <v>2.3195292041550734E-2</v>
      </c>
    </row>
    <row r="8" spans="1:10" ht="12.75" customHeight="1" x14ac:dyDescent="0.25">
      <c r="A8" s="258" t="s">
        <v>507</v>
      </c>
      <c r="B8" s="6">
        <f>'Table 3.6-PARS RTS Summary'!B28</f>
        <v>10943.94372796173</v>
      </c>
      <c r="D8" s="61">
        <f t="shared" si="0"/>
        <v>0.22321335785171201</v>
      </c>
      <c r="F8" s="108">
        <f>'Table 3.6-PARS RTS Summary'!F28</f>
        <v>2442.8344276585208</v>
      </c>
      <c r="H8" s="99">
        <f t="shared" si="1"/>
        <v>8.6747045951344557E-3</v>
      </c>
      <c r="J8" s="19">
        <f t="shared" si="2"/>
        <v>1.9363099410516379E-3</v>
      </c>
    </row>
    <row r="9" spans="1:10" ht="12.75" customHeight="1" x14ac:dyDescent="0.25">
      <c r="A9" s="258" t="s">
        <v>510</v>
      </c>
      <c r="B9" s="6">
        <f>'Table 3.6-PARS RTS Summary'!B38</f>
        <v>840244.92362974887</v>
      </c>
      <c r="D9" s="61">
        <f t="shared" si="0"/>
        <v>4.6221849735709294E-2</v>
      </c>
      <c r="F9" s="108">
        <f>'Table 3.6-PARS RTS Summary'!F38</f>
        <v>38837.674601206782</v>
      </c>
      <c r="H9" s="99">
        <f t="shared" si="1"/>
        <v>0.66601918661426718</v>
      </c>
      <c r="J9" s="19">
        <f t="shared" si="2"/>
        <v>3.0784638764783986E-2</v>
      </c>
    </row>
    <row r="10" spans="1:10" ht="12.75" customHeight="1" x14ac:dyDescent="0.25">
      <c r="A10" s="258" t="s">
        <v>508</v>
      </c>
      <c r="B10" s="6">
        <f>'Table 3.6-PARS RTS Summary'!B49</f>
        <v>4023.3972916898911</v>
      </c>
      <c r="D10" s="61">
        <f t="shared" si="0"/>
        <v>9.7300758019403896E-2</v>
      </c>
      <c r="F10" s="81">
        <f>'Table 3.6-PARS RTS Summary'!F49</f>
        <v>391.47960629464308</v>
      </c>
      <c r="H10" s="99">
        <f t="shared" si="1"/>
        <v>3.1891413042539605E-3</v>
      </c>
      <c r="J10" s="19">
        <f t="shared" si="2"/>
        <v>3.1030586633490077E-4</v>
      </c>
    </row>
    <row r="11" spans="1:10" ht="12.75" customHeight="1" x14ac:dyDescent="0.25">
      <c r="A11" s="258" t="s">
        <v>509</v>
      </c>
      <c r="B11" s="6">
        <f>'Table 3.6-PARS RTS Summary'!B59</f>
        <v>98245.108680747901</v>
      </c>
      <c r="D11" s="61">
        <f t="shared" si="0"/>
        <v>0.14675580847873546</v>
      </c>
      <c r="F11" s="81">
        <f>'Table 3.6-PARS RTS Summary'!F59</f>
        <v>14418.04035352439</v>
      </c>
      <c r="H11" s="99">
        <f t="shared" si="1"/>
        <v>7.7873874072001997E-2</v>
      </c>
      <c r="J11" s="19">
        <f t="shared" si="2"/>
        <v>1.1428443348807887E-2</v>
      </c>
    </row>
    <row r="12" spans="1:10" ht="12.75" customHeight="1" x14ac:dyDescent="0.25">
      <c r="A12" s="258" t="s">
        <v>102</v>
      </c>
      <c r="B12" s="6">
        <f>SUM(B6:B11)</f>
        <v>1182622.4850000001</v>
      </c>
      <c r="D12" s="61">
        <f t="shared" si="0"/>
        <v>7.4568141771905946E-2</v>
      </c>
      <c r="F12" s="81">
        <f>SUM(F6:F11)</f>
        <v>88185.961124123714</v>
      </c>
      <c r="H12" s="99">
        <f t="shared" si="1"/>
        <v>0.93740437267850552</v>
      </c>
      <c r="J12" s="19">
        <f>SUM(J6:J11)</f>
        <v>6.9900502159495337E-2</v>
      </c>
    </row>
    <row r="13" spans="1:10" ht="5.15" customHeight="1" x14ac:dyDescent="0.25">
      <c r="A13" s="258"/>
      <c r="B13" s="6"/>
      <c r="F13" s="81"/>
      <c r="H13" s="104"/>
      <c r="J13" s="19"/>
    </row>
    <row r="14" spans="1:10" ht="12.75" customHeight="1" x14ac:dyDescent="0.25">
      <c r="A14" s="258" t="s">
        <v>517</v>
      </c>
      <c r="B14" s="6"/>
      <c r="F14" s="81"/>
      <c r="H14" s="104"/>
      <c r="J14" s="19"/>
    </row>
    <row r="15" spans="1:10" ht="12.75" customHeight="1" x14ac:dyDescent="0.25">
      <c r="A15" s="367" t="s">
        <v>320</v>
      </c>
      <c r="B15" s="6">
        <f>'Table 3.6-PARS RTS Summary'!B62</f>
        <v>1182622.4850000001</v>
      </c>
      <c r="D15" s="61">
        <f>F15/B15</f>
        <v>0.44437153303478671</v>
      </c>
      <c r="F15" s="81">
        <f>'Table 3.6-PARS RTS Summary'!F62</f>
        <v>525523.76666085911</v>
      </c>
      <c r="H15" s="99">
        <f>B15/$B$38</f>
        <v>0.93740437267850552</v>
      </c>
      <c r="J15" s="19">
        <f>D15*H15</f>
        <v>0.41655581816066001</v>
      </c>
    </row>
    <row r="16" spans="1:10" ht="12.75" customHeight="1" x14ac:dyDescent="0.25">
      <c r="A16" s="367" t="s">
        <v>99</v>
      </c>
      <c r="B16" s="6">
        <f>'Table 3.6-PARS RTS Summary'!B63</f>
        <v>1435.4002011616583</v>
      </c>
      <c r="D16" s="61">
        <f>F16/B16</f>
        <v>3.2507701047636788</v>
      </c>
      <c r="F16" s="81">
        <f>'Table 3.6-PARS RTS Summary'!F63</f>
        <v>4666.1560623080895</v>
      </c>
      <c r="H16" s="99">
        <f>B16/$B$38</f>
        <v>1.1377683429657983E-3</v>
      </c>
      <c r="J16" s="19">
        <f>D16*H16</f>
        <v>3.6986233154597255E-3</v>
      </c>
    </row>
    <row r="17" spans="1:10" ht="12.75" customHeight="1" x14ac:dyDescent="0.25">
      <c r="A17" s="367" t="s">
        <v>100</v>
      </c>
      <c r="B17" s="6">
        <f>'Table 3.6-PARS RTS Summary'!B64</f>
        <v>1187.7069774454876</v>
      </c>
      <c r="D17" s="61">
        <f>F17/B17</f>
        <v>0.89988403767786562</v>
      </c>
      <c r="F17" s="81">
        <f>'Table 3.6-PARS RTS Summary'!F64</f>
        <v>1068.7985504418191</v>
      </c>
      <c r="H17" s="99">
        <f>B17/$B$38</f>
        <v>9.4143458985406576E-4</v>
      </c>
      <c r="J17" s="19">
        <f>D17*H17</f>
        <v>8.4718195992748203E-4</v>
      </c>
    </row>
    <row r="18" spans="1:10" ht="12.75" customHeight="1" x14ac:dyDescent="0.25">
      <c r="A18" s="367" t="s">
        <v>210</v>
      </c>
      <c r="B18" s="6">
        <f>'Table 3.6-PARS RTS Summary'!B65</f>
        <v>136.60229946516074</v>
      </c>
      <c r="D18" s="61">
        <f>F18/B18</f>
        <v>0.49923740110555209</v>
      </c>
      <c r="F18" s="81">
        <f>'Table 3.6-PARS RTS Summary'!F65</f>
        <v>68.196976970029198</v>
      </c>
      <c r="H18" s="99">
        <f>B18/$B$38</f>
        <v>1.0827765788385153E-4</v>
      </c>
      <c r="J18" s="19">
        <f>D18*H18</f>
        <v>5.4056256519730132E-5</v>
      </c>
    </row>
    <row r="19" spans="1:10" ht="12.75" customHeight="1" x14ac:dyDescent="0.25">
      <c r="A19" s="250" t="s">
        <v>102</v>
      </c>
      <c r="B19" s="6">
        <f>B15</f>
        <v>1182622.4850000001</v>
      </c>
      <c r="D19" s="61">
        <f>F19/B19</f>
        <v>0.44927855253029381</v>
      </c>
      <c r="F19" s="81">
        <f>SUM(F15:F18)</f>
        <v>531326.91825057915</v>
      </c>
      <c r="H19" s="99">
        <f>B19/$B$38</f>
        <v>0.93740437267850552</v>
      </c>
      <c r="J19" s="19">
        <f>SUM(J15:J18)</f>
        <v>0.42115567969256695</v>
      </c>
    </row>
    <row r="20" spans="1:10" ht="5.15" customHeight="1" x14ac:dyDescent="0.25">
      <c r="A20" s="258"/>
      <c r="B20" s="6"/>
      <c r="F20" s="81"/>
      <c r="H20" s="104"/>
      <c r="J20" s="19"/>
    </row>
    <row r="21" spans="1:10" ht="12.75" customHeight="1" x14ac:dyDescent="0.25">
      <c r="A21" s="258" t="s">
        <v>504</v>
      </c>
      <c r="B21" s="6">
        <f>B12</f>
        <v>1182622.4850000001</v>
      </c>
      <c r="D21" s="61">
        <f>F21/B21</f>
        <v>0.52384669430219977</v>
      </c>
      <c r="F21" s="81">
        <f>SUM(F12,F19)</f>
        <v>619512.87937470293</v>
      </c>
      <c r="H21" s="99">
        <f>B21/$B$38</f>
        <v>0.93740437267850552</v>
      </c>
      <c r="J21" s="19">
        <f>J12+J19</f>
        <v>0.49105618185206229</v>
      </c>
    </row>
    <row r="22" spans="1:10" ht="12.75" customHeight="1" x14ac:dyDescent="0.25">
      <c r="A22" s="11"/>
      <c r="B22" s="6"/>
      <c r="F22" s="81"/>
      <c r="H22" s="104"/>
      <c r="J22" s="19"/>
    </row>
    <row r="23" spans="1:10" ht="12.75" customHeight="1" x14ac:dyDescent="0.3">
      <c r="A23" s="14" t="s">
        <v>479</v>
      </c>
      <c r="B23" s="6"/>
      <c r="D23" s="61"/>
      <c r="F23" s="108"/>
      <c r="H23" s="104"/>
      <c r="J23" s="19"/>
    </row>
    <row r="24" spans="1:10" ht="12.75" customHeight="1" x14ac:dyDescent="0.25">
      <c r="A24" s="258" t="s">
        <v>519</v>
      </c>
      <c r="B24" s="6">
        <f>'Table 3.7-NonPARS RTS Summary'!B8</f>
        <v>41637.612962509142</v>
      </c>
      <c r="D24" s="61">
        <f>F24/B24</f>
        <v>0.57624159482365656</v>
      </c>
      <c r="F24" s="108">
        <f>'Table 3.7-NonPARS RTS Summary'!F8</f>
        <v>23993.324498166421</v>
      </c>
      <c r="H24" s="99">
        <f>B24/$B$38</f>
        <v>3.3004006734195727E-2</v>
      </c>
      <c r="J24" s="19">
        <f>D24*H24</f>
        <v>1.9018281476083646E-2</v>
      </c>
    </row>
    <row r="25" spans="1:10" ht="12.75" customHeight="1" x14ac:dyDescent="0.25">
      <c r="A25" s="258" t="s">
        <v>521</v>
      </c>
      <c r="B25" s="6">
        <f>'Table 3.7-NonPARS RTS Summary'!B14</f>
        <v>28578.893035309178</v>
      </c>
      <c r="D25" s="61">
        <f>F25/B25</f>
        <v>0.45867118267375195</v>
      </c>
      <c r="F25" s="81">
        <f>'Table 3.7-NonPARS RTS Summary'!F14</f>
        <v>13108.314668011913</v>
      </c>
      <c r="H25" s="99">
        <f>B25/$B$38</f>
        <v>2.265302718103665E-2</v>
      </c>
      <c r="J25" s="19">
        <f>D25*H25</f>
        <v>1.039029076826673E-2</v>
      </c>
    </row>
    <row r="26" spans="1:10" ht="12.75" customHeight="1" x14ac:dyDescent="0.25">
      <c r="A26" s="258" t="s">
        <v>522</v>
      </c>
      <c r="B26" s="6">
        <f>'Table 3.7-NonPARS RTS Summary'!B20</f>
        <v>8753.6785785110187</v>
      </c>
      <c r="D26" s="61">
        <f>F26/B26</f>
        <v>0.12881223857286103</v>
      </c>
      <c r="F26" s="81">
        <f>'Table 3.7-NonPARS RTS Summary'!F20</f>
        <v>1127.5809334453045</v>
      </c>
      <c r="H26" s="99">
        <f>B26/$B$38</f>
        <v>6.9385934062621783E-3</v>
      </c>
      <c r="J26" s="19">
        <f>D26*H26</f>
        <v>8.9377574920752423E-4</v>
      </c>
    </row>
    <row r="27" spans="1:10" ht="12.75" customHeight="1" x14ac:dyDescent="0.25">
      <c r="A27" s="258" t="s">
        <v>102</v>
      </c>
      <c r="B27" s="6">
        <f>SUM(B24:B26)</f>
        <v>78970.184576329339</v>
      </c>
      <c r="D27" s="61">
        <f>F27/B27</f>
        <v>0.4840968816866934</v>
      </c>
      <c r="F27" s="81">
        <f>SUM(F24:F26)</f>
        <v>38229.220099623642</v>
      </c>
      <c r="H27" s="99">
        <f>B27/$B$38</f>
        <v>6.2595627321494554E-2</v>
      </c>
      <c r="J27" s="19">
        <f>SUM(J24:J26)</f>
        <v>3.0302347993557899E-2</v>
      </c>
    </row>
    <row r="28" spans="1:10" ht="5.15" customHeight="1" x14ac:dyDescent="0.25">
      <c r="A28" s="258"/>
      <c r="B28" s="6"/>
      <c r="D28" s="61"/>
      <c r="F28" s="81"/>
      <c r="H28" s="104"/>
      <c r="J28" s="19"/>
    </row>
    <row r="29" spans="1:10" ht="12.75" customHeight="1" x14ac:dyDescent="0.25">
      <c r="A29" s="258" t="s">
        <v>517</v>
      </c>
      <c r="B29" s="6"/>
      <c r="D29" s="61"/>
      <c r="F29" s="81"/>
      <c r="H29" s="104"/>
      <c r="J29" s="19"/>
    </row>
    <row r="30" spans="1:10" ht="12.75" customHeight="1" x14ac:dyDescent="0.25">
      <c r="A30" s="367" t="s">
        <v>320</v>
      </c>
      <c r="B30" s="6">
        <f>'Table 3.7-NonPARS RTS Summary'!B23</f>
        <v>78970.184576329339</v>
      </c>
      <c r="D30" s="61">
        <f>F30/B30</f>
        <v>2.8261630912481723</v>
      </c>
      <c r="F30" s="81">
        <f>'Table 3.7-NonPARS RTS Summary'!F23</f>
        <v>223182.62095867767</v>
      </c>
      <c r="H30" s="99">
        <f>B30/$B$38</f>
        <v>6.2595627321494554E-2</v>
      </c>
      <c r="J30" s="19">
        <f>D30*H30</f>
        <v>0.17690545160953361</v>
      </c>
    </row>
    <row r="31" spans="1:10" ht="12.75" customHeight="1" x14ac:dyDescent="0.25">
      <c r="A31" s="367" t="s">
        <v>99</v>
      </c>
      <c r="B31" s="6">
        <f>'Table 3.7-NonPARS RTS Summary'!B24</f>
        <v>8320.6888729497296</v>
      </c>
      <c r="D31" s="61">
        <f>F31/B31</f>
        <v>3.2507701047636788</v>
      </c>
      <c r="F31" s="81">
        <f>'Table 3.7-NonPARS RTS Summary'!F24</f>
        <v>27048.646639224768</v>
      </c>
      <c r="H31" s="99">
        <f>B31/$B$38</f>
        <v>6.5953846067796197E-3</v>
      </c>
      <c r="J31" s="19">
        <f>D31*H31</f>
        <v>2.1440079109137738E-2</v>
      </c>
    </row>
    <row r="32" spans="1:10" ht="12.75" customHeight="1" x14ac:dyDescent="0.25">
      <c r="A32" s="367" t="s">
        <v>100</v>
      </c>
      <c r="B32" s="6">
        <f>'Table 3.7-NonPARS RTS Summary'!B25</f>
        <v>5739.2978848355406</v>
      </c>
      <c r="D32" s="61">
        <f>F32/B32</f>
        <v>0.89988403767786562</v>
      </c>
      <c r="F32" s="81">
        <f>'Table 3.7-NonPARS RTS Summary'!F25</f>
        <v>5164.7025540418399</v>
      </c>
      <c r="H32" s="99">
        <f>B32/$B$38</f>
        <v>4.5492479650844223E-3</v>
      </c>
      <c r="J32" s="19">
        <f>D32*H32</f>
        <v>4.093795627217984E-3</v>
      </c>
    </row>
    <row r="33" spans="1:11" ht="12.75" customHeight="1" x14ac:dyDescent="0.25">
      <c r="A33" s="367" t="s">
        <v>210</v>
      </c>
      <c r="B33" s="6">
        <f>'Table 3.7-NonPARS RTS Summary'!B26</f>
        <v>1148.6979401295998</v>
      </c>
      <c r="D33" s="61">
        <f>F33/B33</f>
        <v>0.49923740110555209</v>
      </c>
      <c r="F33" s="81">
        <f>'Table 3.7-NonPARS RTS Summary'!F26</f>
        <v>573.4729742856025</v>
      </c>
      <c r="H33" s="99">
        <f>B33/$B$38</f>
        <v>9.1051412062766494E-4</v>
      </c>
      <c r="J33" s="19">
        <f>D33*H33</f>
        <v>4.5456270325206258E-4</v>
      </c>
    </row>
    <row r="34" spans="1:11" ht="12.75" customHeight="1" x14ac:dyDescent="0.25">
      <c r="A34" s="250" t="s">
        <v>102</v>
      </c>
      <c r="B34" s="6">
        <f>B30</f>
        <v>78970.184576329339</v>
      </c>
      <c r="D34" s="61">
        <f>F34/B34</f>
        <v>3.2413428498298664</v>
      </c>
      <c r="F34" s="81">
        <f>SUM(F30:F33)</f>
        <v>255969.44312622989</v>
      </c>
      <c r="H34" s="99">
        <f>B34/$B$38</f>
        <v>6.2595627321494554E-2</v>
      </c>
      <c r="J34" s="19">
        <f>SUM(J30:J33)</f>
        <v>0.20289388904914138</v>
      </c>
    </row>
    <row r="35" spans="1:11" ht="5.15" customHeight="1" x14ac:dyDescent="0.25">
      <c r="A35" s="258"/>
      <c r="B35" s="6"/>
      <c r="D35" s="61"/>
      <c r="F35" s="81"/>
      <c r="H35" s="104"/>
      <c r="J35" s="19"/>
    </row>
    <row r="36" spans="1:11" ht="12.75" customHeight="1" x14ac:dyDescent="0.25">
      <c r="A36" s="166" t="s">
        <v>494</v>
      </c>
      <c r="B36" s="6">
        <f>B27</f>
        <v>78970.184576329339</v>
      </c>
      <c r="D36" s="61">
        <f>F36/B36</f>
        <v>3.7254397315165595</v>
      </c>
      <c r="F36" s="81">
        <f>SUM(F27,F34)</f>
        <v>294198.66322585352</v>
      </c>
      <c r="H36" s="99">
        <f>B36/$B$38</f>
        <v>6.2595627321494554E-2</v>
      </c>
      <c r="J36" s="19">
        <f>J27+J34</f>
        <v>0.23319623704269929</v>
      </c>
    </row>
    <row r="37" spans="1:11" ht="12.75" customHeight="1" x14ac:dyDescent="0.25">
      <c r="A37" s="258"/>
      <c r="B37" s="6"/>
      <c r="D37" s="61"/>
      <c r="F37" s="81"/>
      <c r="H37" s="104"/>
      <c r="J37" s="19"/>
    </row>
    <row r="38" spans="1:11" ht="12.75" customHeight="1" x14ac:dyDescent="0.3">
      <c r="A38" s="16" t="s">
        <v>269</v>
      </c>
      <c r="B38" s="260">
        <f>SUM(B21,B36)</f>
        <v>1261592.6695763294</v>
      </c>
      <c r="C38" s="5"/>
      <c r="D38" s="259"/>
      <c r="E38" s="5"/>
      <c r="F38" s="368">
        <f>SUM(F21,F36)</f>
        <v>913711.54260055651</v>
      </c>
      <c r="G38" s="5"/>
      <c r="H38" s="369"/>
      <c r="I38" s="5"/>
      <c r="J38" s="259">
        <f>SUM(J21,J36)</f>
        <v>0.72425241889476155</v>
      </c>
    </row>
    <row r="39" spans="1:11" ht="12.75" customHeight="1" x14ac:dyDescent="0.25">
      <c r="A39" s="60"/>
      <c r="B39" s="6"/>
    </row>
    <row r="40" spans="1:11" ht="12.75" hidden="1" customHeight="1" x14ac:dyDescent="0.25">
      <c r="A40" s="60"/>
      <c r="B40" s="6"/>
      <c r="F40" s="81"/>
      <c r="H40" s="104"/>
    </row>
    <row r="41" spans="1:11" ht="12.75" hidden="1" customHeight="1" x14ac:dyDescent="0.25">
      <c r="A41" s="13" t="s">
        <v>191</v>
      </c>
      <c r="B41" s="105">
        <v>0</v>
      </c>
      <c r="D41" s="6"/>
      <c r="F41" s="81"/>
      <c r="G41" s="365" t="s">
        <v>311</v>
      </c>
      <c r="H41" s="75">
        <f>SUM('Table 3.14-Route UAA'!J99:J100,'Table 3.14-Route UAA'!J107)</f>
        <v>79507.271916163794</v>
      </c>
      <c r="J41" s="6">
        <f>'Table 3.6-PARS RTS Summary'!J71+'Table 3.7-NonPARS RTS Summary'!J32</f>
        <v>79507.27191616378</v>
      </c>
      <c r="K41" s="105">
        <f t="shared" ref="K41:K48" si="3">H41-J41</f>
        <v>0</v>
      </c>
    </row>
    <row r="42" spans="1:11" ht="12.75" hidden="1" customHeight="1" x14ac:dyDescent="0.25">
      <c r="A42" s="258"/>
      <c r="B42" s="105">
        <v>0</v>
      </c>
      <c r="D42" s="61"/>
      <c r="F42" s="81"/>
      <c r="G42" s="36" t="s">
        <v>312</v>
      </c>
      <c r="H42" s="75">
        <f>SUM('Table 3.18-Nixie UAA'!I7,'Table 3.18-Nixie UAA'!I9:I10,'Table 3.18-Nixie UAA'!I16,'Table 3.18-Nixie UAA'!I19,'Table 3.18-Nixie UAA'!I25:I25,'Table 3.18-Nixie UAA'!I28,'Table 3.18-Nixie UAA'!I33:I34,'Table 3.18-Nixie UAA'!I36)+SUM('Table 3.31-Rating Post Due'!H8,'Table 3.31-Rating Post Due'!H13,'Table 3.31-Rating Post Due'!H25)</f>
        <v>33946.822375383752</v>
      </c>
      <c r="J42" s="6">
        <f>'Table 3.6-PARS RTS Summary'!J72+'Table 3.7-NonPARS RTS Summary'!J33</f>
        <v>33946.822375383752</v>
      </c>
      <c r="K42" s="105">
        <f t="shared" si="3"/>
        <v>0</v>
      </c>
    </row>
    <row r="43" spans="1:11" ht="12.75" hidden="1" customHeight="1" x14ac:dyDescent="0.25">
      <c r="A43" s="258"/>
      <c r="B43" s="105">
        <v>0</v>
      </c>
      <c r="D43" s="61"/>
      <c r="F43" s="81"/>
      <c r="G43" s="36" t="s">
        <v>313</v>
      </c>
      <c r="H43" s="75">
        <f>SUM('Table 3.20-CFS Non-CIOSS'!H14,'Table 3.20-CFS Non-CIOSS'!H50,'Table 3.20-CFS Non-CIOSS'!H71,'Table 3.21-CFS CIOSS Rejs'!H14,'Table 3.21-CFS CIOSS Rejs'!H71)</f>
        <v>14618.471135592721</v>
      </c>
      <c r="J43" s="6">
        <f>'Table 3.6-PARS RTS Summary'!J73+'Table 3.7-NonPARS RTS Summary'!J34</f>
        <v>14618.471135592721</v>
      </c>
      <c r="K43" s="105">
        <f t="shared" si="3"/>
        <v>0</v>
      </c>
    </row>
    <row r="44" spans="1:11" ht="12.75" hidden="1" customHeight="1" x14ac:dyDescent="0.25">
      <c r="A44" s="258"/>
      <c r="B44" s="6"/>
      <c r="D44" s="61"/>
      <c r="F44" s="81"/>
      <c r="G44" s="365" t="s">
        <v>502</v>
      </c>
      <c r="H44" s="75">
        <f>SUM('Table 3.23-CIOSS Summary'!I5,'Table 3.23-CIOSS Summary'!I9,'Table 3.23-CIOSS Summary'!I12)</f>
        <v>-6969.0358682109763</v>
      </c>
      <c r="J44" s="6">
        <f>'Table 3.6-PARS RTS Summary'!J74</f>
        <v>-6969.0358682109709</v>
      </c>
      <c r="K44" s="105">
        <f t="shared" si="3"/>
        <v>0</v>
      </c>
    </row>
    <row r="45" spans="1:11" ht="12.75" hidden="1" customHeight="1" x14ac:dyDescent="0.25">
      <c r="A45" s="258"/>
      <c r="B45" s="6"/>
      <c r="D45" s="61"/>
      <c r="F45" s="81"/>
      <c r="G45" s="365" t="s">
        <v>503</v>
      </c>
      <c r="H45" s="75">
        <f>SUM('Table 3.25-REC Summary'!K5,'Table 3.25-REC Summary'!K9,'Table 3.25-REC Summary'!K12)</f>
        <v>5311.651664818075</v>
      </c>
      <c r="J45" s="6">
        <f>'Table 3.6-PARS RTS Summary'!J75</f>
        <v>5311.651664818075</v>
      </c>
      <c r="K45" s="105">
        <f t="shared" si="3"/>
        <v>0</v>
      </c>
    </row>
    <row r="46" spans="1:11" ht="12.75" hidden="1" customHeight="1" x14ac:dyDescent="0.25">
      <c r="A46" s="60"/>
      <c r="B46" s="6"/>
      <c r="D46" s="61"/>
      <c r="F46" s="108"/>
      <c r="G46" s="36" t="s">
        <v>518</v>
      </c>
      <c r="H46" s="75">
        <f>'Table 3.6-PARS RTS Summary'!H76+'Table 3.7-NonPARS RTS Summary'!H35</f>
        <v>748706.38761953672</v>
      </c>
      <c r="J46" s="6">
        <f>'Table 3.6-PARS RTS Summary'!J76+'Table 3.7-NonPARS RTS Summary'!J35</f>
        <v>748706.38761953684</v>
      </c>
      <c r="K46" s="105">
        <f t="shared" si="3"/>
        <v>0</v>
      </c>
    </row>
    <row r="47" spans="1:11" ht="12.75" hidden="1" customHeight="1" x14ac:dyDescent="0.3">
      <c r="A47" s="14"/>
      <c r="B47" s="6"/>
      <c r="D47" s="61"/>
      <c r="F47" s="108"/>
      <c r="G47" s="36" t="s">
        <v>315</v>
      </c>
      <c r="H47" s="75">
        <f>SUM('Table 3.32-Accounting Post Due'!D10:D11)*'Table 3.32-Accounting Post Due'!F10+SUM('Table 3.33-Delivery Post Due'!D14:D18)*'Table 3.33-Delivery Post Due'!F14+SUM('Table 3.34-Window Post Due'!D10:D11)*'Table 3.34-Window Post Due'!F10</f>
        <v>38589.97375727215</v>
      </c>
      <c r="J47" s="6">
        <f>'Table 3.6-PARS RTS Summary'!J77+'Table 3.7-NonPARS RTS Summary'!J36</f>
        <v>38589.973757272142</v>
      </c>
      <c r="K47" s="105">
        <f t="shared" si="3"/>
        <v>0</v>
      </c>
    </row>
    <row r="48" spans="1:11" ht="12.75" hidden="1" customHeight="1" x14ac:dyDescent="0.3">
      <c r="A48" s="14"/>
      <c r="B48" s="6"/>
      <c r="D48" s="61"/>
      <c r="F48" s="108"/>
      <c r="G48" s="36" t="s">
        <v>314</v>
      </c>
      <c r="H48" s="6">
        <f>SUM(H41:H47)</f>
        <v>913711.54260055616</v>
      </c>
      <c r="J48" s="6">
        <f>SUM(J41:J47)</f>
        <v>913711.54260055628</v>
      </c>
      <c r="K48" s="105">
        <f t="shared" si="3"/>
        <v>0</v>
      </c>
    </row>
    <row r="49" spans="1:8" ht="12.75" customHeight="1" x14ac:dyDescent="0.3">
      <c r="A49" s="14"/>
      <c r="B49" s="6"/>
      <c r="D49" s="61"/>
      <c r="F49" s="108"/>
      <c r="H49" s="104"/>
    </row>
    <row r="50" spans="1:8" x14ac:dyDescent="0.25">
      <c r="A50" s="204"/>
      <c r="B50" s="204"/>
      <c r="C50" s="204"/>
      <c r="D50" s="204"/>
      <c r="E50" s="204"/>
      <c r="F50" s="204"/>
      <c r="H50" s="167"/>
    </row>
    <row r="51" spans="1:8" x14ac:dyDescent="0.25">
      <c r="A51" s="12" t="s">
        <v>235</v>
      </c>
    </row>
    <row r="52" spans="1:8" x14ac:dyDescent="0.25">
      <c r="A52" s="11" t="s">
        <v>603</v>
      </c>
      <c r="D52" s="11"/>
    </row>
    <row r="53" spans="1:8" x14ac:dyDescent="0.25">
      <c r="A53" s="11" t="s">
        <v>604</v>
      </c>
      <c r="D53" s="11"/>
    </row>
    <row r="54" spans="1:8" x14ac:dyDescent="0.25">
      <c r="A54" s="12"/>
      <c r="D54" s="11"/>
    </row>
    <row r="55" spans="1:8" x14ac:dyDescent="0.25">
      <c r="A55" s="11"/>
    </row>
    <row r="56" spans="1:8" x14ac:dyDescent="0.25">
      <c r="A56" s="11"/>
    </row>
  </sheetData>
  <phoneticPr fontId="5" type="noConversion"/>
  <printOptions horizontalCentered="1"/>
  <pageMargins left="0.75" right="0.75" top="1" bottom="1" header="0.5" footer="0.5"/>
  <pageSetup scale="86" orientation="landscape" r:id="rId1"/>
  <headerFooter alignWithMargins="0">
    <oddFooter>&amp;L&amp;F</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dimension ref="A1:L93"/>
  <sheetViews>
    <sheetView zoomScale="70" zoomScaleNormal="70" workbookViewId="0"/>
  </sheetViews>
  <sheetFormatPr defaultRowHeight="12.5" x14ac:dyDescent="0.25"/>
  <cols>
    <col min="1" max="1" width="50" customWidth="1"/>
    <col min="2" max="2" width="11.6328125" customWidth="1"/>
    <col min="3" max="3" width="3.54296875" customWidth="1"/>
    <col min="4" max="4" width="11.6328125" customWidth="1"/>
    <col min="5" max="5" width="3.54296875" customWidth="1"/>
    <col min="6" max="6" width="11.6328125" customWidth="1"/>
    <col min="7" max="7" width="3.54296875" customWidth="1"/>
    <col min="8" max="8" width="11.6328125" customWidth="1"/>
    <col min="9" max="9" width="3.453125" customWidth="1"/>
    <col min="10" max="10" width="11.6328125" customWidth="1"/>
  </cols>
  <sheetData>
    <row r="1" spans="1:12" s="12" customFormat="1" ht="15.75" customHeight="1" x14ac:dyDescent="0.35">
      <c r="A1" s="117" t="s">
        <v>18</v>
      </c>
      <c r="B1" s="16"/>
      <c r="C1" s="16"/>
      <c r="D1" s="16"/>
      <c r="E1" s="16"/>
      <c r="F1" s="16"/>
      <c r="G1" s="16"/>
      <c r="H1" s="16"/>
      <c r="I1" s="16"/>
      <c r="J1" s="16"/>
    </row>
    <row r="2" spans="1:12" s="12" customFormat="1" ht="15.5" x14ac:dyDescent="0.35">
      <c r="A2" s="117" t="s">
        <v>787</v>
      </c>
      <c r="B2" s="16"/>
      <c r="C2" s="16"/>
      <c r="D2" s="16"/>
      <c r="E2" s="16"/>
      <c r="F2" s="16"/>
      <c r="G2" s="16"/>
      <c r="H2" s="16"/>
      <c r="I2" s="16"/>
      <c r="J2" s="16"/>
    </row>
    <row r="3" spans="1:12" ht="25.5" customHeight="1" x14ac:dyDescent="0.25">
      <c r="B3" s="125" t="s">
        <v>109</v>
      </c>
      <c r="C3" s="125"/>
      <c r="D3" s="126" t="s">
        <v>104</v>
      </c>
      <c r="E3" s="126"/>
      <c r="F3" s="125" t="s">
        <v>110</v>
      </c>
      <c r="G3" s="125"/>
      <c r="H3" s="127" t="s">
        <v>97</v>
      </c>
      <c r="I3" s="127"/>
      <c r="J3" s="128" t="s">
        <v>105</v>
      </c>
    </row>
    <row r="4" spans="1:12" ht="13" x14ac:dyDescent="0.3">
      <c r="A4" s="14" t="s">
        <v>778</v>
      </c>
    </row>
    <row r="5" spans="1:12" x14ac:dyDescent="0.25">
      <c r="A5" s="258" t="s">
        <v>481</v>
      </c>
      <c r="B5" s="6">
        <f>'Table 3.24-CIOSS Detail'!E12</f>
        <v>21230.180838579075</v>
      </c>
      <c r="C5" s="11" t="s">
        <v>244</v>
      </c>
      <c r="D5" s="61">
        <f>F5/B5</f>
        <v>6.5718313089960748E-2</v>
      </c>
      <c r="F5" s="108">
        <f>'Table 3.24-CIOSS Detail'!K12</f>
        <v>1395.2116713062251</v>
      </c>
      <c r="G5" s="11" t="s">
        <v>244</v>
      </c>
      <c r="H5" s="99">
        <f>B5/$B$68</f>
        <v>1.795178183051295E-2</v>
      </c>
      <c r="J5" s="88">
        <f>D5*H5</f>
        <v>1.1797608188603187E-3</v>
      </c>
    </row>
    <row r="6" spans="1:12" x14ac:dyDescent="0.25">
      <c r="A6" s="258" t="s">
        <v>95</v>
      </c>
      <c r="B6" s="6">
        <f>'Table 3.28-REC Volume'!G12</f>
        <v>8067.4687186600486</v>
      </c>
      <c r="C6" s="11" t="s">
        <v>582</v>
      </c>
      <c r="D6" s="61">
        <f>F6/B6</f>
        <v>0</v>
      </c>
      <c r="F6" s="108">
        <v>0</v>
      </c>
      <c r="H6" s="99">
        <f>B6/$B$68</f>
        <v>6.8216770955949208E-3</v>
      </c>
      <c r="J6" s="88">
        <f>D6*H6</f>
        <v>0</v>
      </c>
    </row>
    <row r="7" spans="1:12" x14ac:dyDescent="0.25">
      <c r="A7" s="166" t="s">
        <v>499</v>
      </c>
      <c r="B7" s="6">
        <f>'Table 3.28-REC Volume'!H12</f>
        <v>12101.203077990072</v>
      </c>
      <c r="C7" s="11" t="s">
        <v>582</v>
      </c>
      <c r="D7" s="61">
        <f>F7/B7</f>
        <v>0.10559546049249727</v>
      </c>
      <c r="F7" s="108">
        <f>'Table 3.26-REC Detail NonACS'!K12</f>
        <v>1277.8321115335871</v>
      </c>
      <c r="G7" s="11" t="s">
        <v>590</v>
      </c>
      <c r="H7" s="99">
        <f>B7/$B$68</f>
        <v>1.023251564339238E-2</v>
      </c>
      <c r="J7" s="88">
        <f>D7*H7</f>
        <v>1.0805072013607003E-3</v>
      </c>
    </row>
    <row r="8" spans="1:12" x14ac:dyDescent="0.25">
      <c r="A8" s="166" t="s">
        <v>677</v>
      </c>
      <c r="B8" s="6">
        <v>0</v>
      </c>
      <c r="D8" s="61">
        <v>0</v>
      </c>
      <c r="F8" s="81">
        <v>0</v>
      </c>
      <c r="H8" s="99">
        <f>B8/$B$68</f>
        <v>0</v>
      </c>
      <c r="J8" s="88">
        <f>D8*H8</f>
        <v>0</v>
      </c>
    </row>
    <row r="9" spans="1:12" x14ac:dyDescent="0.25">
      <c r="A9" s="166" t="s">
        <v>488</v>
      </c>
      <c r="B9" s="6">
        <v>1061.5090419289481</v>
      </c>
      <c r="C9" s="11" t="s">
        <v>586</v>
      </c>
      <c r="D9" s="61">
        <f>'Table 3.18-Nixie UAA'!J33</f>
        <v>0.15061383180161891</v>
      </c>
      <c r="E9" s="11" t="s">
        <v>587</v>
      </c>
      <c r="F9" s="108">
        <f>B9*D9</f>
        <v>159.87794429698423</v>
      </c>
      <c r="H9" s="99">
        <f>B9/$B$68</f>
        <v>8.9758909152564271E-4</v>
      </c>
      <c r="J9" s="88">
        <f>D9*H9</f>
        <v>1.3518933245801107E-4</v>
      </c>
      <c r="K9" s="6"/>
      <c r="L9" s="6"/>
    </row>
    <row r="10" spans="1:12" x14ac:dyDescent="0.25">
      <c r="A10" s="60" t="s">
        <v>102</v>
      </c>
      <c r="B10" s="6">
        <f>B5</f>
        <v>21230.180838579075</v>
      </c>
      <c r="D10" s="61">
        <f>F10/B10</f>
        <v>0.1334384171607651</v>
      </c>
      <c r="F10" s="81">
        <f>SUM(F5:F9)</f>
        <v>2832.9217271367966</v>
      </c>
      <c r="H10" s="104"/>
      <c r="J10" s="19">
        <f>SUM(J5:J9)</f>
        <v>2.3954573526790302E-3</v>
      </c>
      <c r="L10" s="6"/>
    </row>
    <row r="11" spans="1:12" ht="5.15" customHeight="1" x14ac:dyDescent="0.25">
      <c r="A11" s="60"/>
      <c r="B11" s="6"/>
      <c r="F11" s="81"/>
      <c r="H11" s="104"/>
      <c r="L11" s="6"/>
    </row>
    <row r="12" spans="1:12" ht="13" x14ac:dyDescent="0.3">
      <c r="A12" s="14" t="s">
        <v>605</v>
      </c>
      <c r="B12" s="6"/>
      <c r="F12" s="81"/>
      <c r="H12" s="104"/>
      <c r="K12" s="81"/>
      <c r="L12" s="6"/>
    </row>
    <row r="13" spans="1:12" x14ac:dyDescent="0.25">
      <c r="A13" s="258" t="s">
        <v>481</v>
      </c>
      <c r="B13" s="6">
        <f>SUM('Table 3.24-CIOSS Detail'!E5,'Table 3.24-CIOSS Detail'!E9)</f>
        <v>207934.93083127271</v>
      </c>
      <c r="C13" s="11" t="s">
        <v>244</v>
      </c>
      <c r="D13" s="61">
        <f>F13/B13</f>
        <v>6.5718313089960761E-2</v>
      </c>
      <c r="F13" s="108">
        <f>SUM('Table 3.24-CIOSS Detail'!K5,'Table 3.24-CIOSS Detail'!K9)</f>
        <v>13665.132886708916</v>
      </c>
      <c r="G13" s="11" t="s">
        <v>244</v>
      </c>
      <c r="H13" s="99">
        <f>B13/$B$68</f>
        <v>0.17582528107545045</v>
      </c>
      <c r="J13" s="88">
        <f>D13*H13</f>
        <v>1.1554940870846806E-2</v>
      </c>
      <c r="K13" s="81"/>
      <c r="L13" s="6"/>
    </row>
    <row r="14" spans="1:12" x14ac:dyDescent="0.25">
      <c r="A14" s="258" t="s">
        <v>95</v>
      </c>
      <c r="B14" s="6">
        <f>SUM('Table 3.28-REC Volume'!G5,'Table 3.28-REC Volume'!G9)</f>
        <v>79077.966297868246</v>
      </c>
      <c r="C14" s="11" t="s">
        <v>582</v>
      </c>
      <c r="D14" s="61">
        <f>F14/B14</f>
        <v>0</v>
      </c>
      <c r="F14" s="108">
        <v>0</v>
      </c>
      <c r="H14" s="99">
        <f>B14/$B$68</f>
        <v>6.6866618300317732E-2</v>
      </c>
      <c r="J14" s="88">
        <f>D14*H14</f>
        <v>0</v>
      </c>
      <c r="K14" s="81"/>
      <c r="L14" s="6"/>
    </row>
    <row r="15" spans="1:12" x14ac:dyDescent="0.25">
      <c r="A15" s="166" t="s">
        <v>499</v>
      </c>
      <c r="B15" s="6">
        <f>SUM('Table 3.28-REC Volume'!H5)</f>
        <v>115970.42687873739</v>
      </c>
      <c r="C15" s="11" t="s">
        <v>582</v>
      </c>
      <c r="D15" s="61">
        <f>F15/B15</f>
        <v>0.10559546049249728</v>
      </c>
      <c r="F15" s="81">
        <f>SUM('Table 3.26-REC Detail NonACS'!K5)</f>
        <v>12245.950629771758</v>
      </c>
      <c r="G15" s="11" t="s">
        <v>590</v>
      </c>
      <c r="H15" s="99">
        <f>B15/$B$68</f>
        <v>9.8062085195967985E-2</v>
      </c>
      <c r="J15" s="88">
        <f>D15*H15</f>
        <v>1.0354911043122739E-2</v>
      </c>
      <c r="K15" s="81"/>
      <c r="L15" s="6"/>
    </row>
    <row r="16" spans="1:12" x14ac:dyDescent="0.25">
      <c r="A16" s="166" t="s">
        <v>677</v>
      </c>
      <c r="B16" s="6">
        <f>SUM('Table 3.28-REC Volume'!H9)</f>
        <v>2646.5225680649783</v>
      </c>
      <c r="C16" s="11" t="s">
        <v>582</v>
      </c>
      <c r="D16" s="61">
        <f>F16/B16</f>
        <v>5.2797730246248641E-2</v>
      </c>
      <c r="F16" s="81">
        <f>SUM('Table 3.26-REC Detail NonACS'!K9)</f>
        <v>139.73038463930394</v>
      </c>
      <c r="G16" s="11" t="s">
        <v>590</v>
      </c>
      <c r="H16" s="99">
        <f>B16/$B$68</f>
        <v>2.2378422545086128E-3</v>
      </c>
      <c r="J16" s="88">
        <f>D16*H16</f>
        <v>1.1815299168720264E-4</v>
      </c>
      <c r="L16" s="6"/>
    </row>
    <row r="17" spans="1:12" x14ac:dyDescent="0.25">
      <c r="A17" s="166" t="s">
        <v>489</v>
      </c>
      <c r="B17" s="6">
        <v>10240.015086602089</v>
      </c>
      <c r="C17" s="11" t="s">
        <v>591</v>
      </c>
      <c r="D17" s="61">
        <f>'Table 3.21-CFS CIOSS Rejs'!I13</f>
        <v>0.31369060299387669</v>
      </c>
      <c r="E17" s="11" t="s">
        <v>592</v>
      </c>
      <c r="F17" s="81">
        <f>B17*D17</f>
        <v>3212.1965071826035</v>
      </c>
      <c r="H17" s="99">
        <f>B17/$B$68</f>
        <v>8.6587353246561083E-3</v>
      </c>
      <c r="J17" s="88">
        <f>D17*H17</f>
        <v>2.7161639051557552E-3</v>
      </c>
      <c r="L17" s="6"/>
    </row>
    <row r="18" spans="1:12" x14ac:dyDescent="0.25">
      <c r="A18" s="60" t="s">
        <v>102</v>
      </c>
      <c r="B18" s="6">
        <f>B13</f>
        <v>207934.93083127271</v>
      </c>
      <c r="D18" s="61">
        <f>F18/B18</f>
        <v>0.14073157545640005</v>
      </c>
      <c r="F18" s="81">
        <f>SUM(F13:F17)</f>
        <v>29263.01040830258</v>
      </c>
      <c r="H18" s="104"/>
      <c r="J18" s="19">
        <f>SUM(J13:J17)</f>
        <v>2.4744168810812504E-2</v>
      </c>
      <c r="L18" s="6"/>
    </row>
    <row r="19" spans="1:12" ht="5.15" customHeight="1" x14ac:dyDescent="0.25">
      <c r="L19" s="6"/>
    </row>
    <row r="20" spans="1:12" ht="13" x14ac:dyDescent="0.3">
      <c r="A20" s="14" t="s">
        <v>606</v>
      </c>
      <c r="L20" s="6"/>
    </row>
    <row r="21" spans="1:12" x14ac:dyDescent="0.25">
      <c r="A21" s="258" t="s">
        <v>307</v>
      </c>
      <c r="B21" s="6">
        <f>'Table 3.16-Route UAA PARS'!D107</f>
        <v>10943.94372796173</v>
      </c>
      <c r="C21" s="205" t="s">
        <v>593</v>
      </c>
      <c r="D21" s="61">
        <f t="shared" ref="D21:D26" si="0">F21/B21</f>
        <v>7.4172802379562155E-2</v>
      </c>
      <c r="E21" s="205"/>
      <c r="F21" s="108">
        <f>'Table 3.16-Route UAA PARS'!J107</f>
        <v>811.74297538715416</v>
      </c>
      <c r="G21" s="205" t="s">
        <v>593</v>
      </c>
      <c r="H21" s="99">
        <f t="shared" ref="H21:H27" si="1">B21/$B$68</f>
        <v>9.2539621618658204E-3</v>
      </c>
      <c r="J21" s="88">
        <f t="shared" ref="J21:J27" si="2">D21*H21</f>
        <v>6.8639230666001929E-4</v>
      </c>
      <c r="L21" s="6"/>
    </row>
    <row r="22" spans="1:12" x14ac:dyDescent="0.25">
      <c r="A22" s="258" t="s">
        <v>495</v>
      </c>
      <c r="B22" s="6">
        <f>'Table 3.18-Nixie UAA'!D7</f>
        <v>10943.943727961732</v>
      </c>
      <c r="C22" s="11" t="s">
        <v>587</v>
      </c>
      <c r="D22" s="61">
        <f t="shared" si="0"/>
        <v>7.6674239613658771E-3</v>
      </c>
      <c r="E22" s="205"/>
      <c r="F22" s="108">
        <f>'Table 3.18-Nixie UAA'!I7</f>
        <v>83.911856371613595</v>
      </c>
      <c r="G22" s="11" t="s">
        <v>587</v>
      </c>
      <c r="H22" s="99">
        <f t="shared" si="1"/>
        <v>9.2539621618658221E-3</v>
      </c>
      <c r="J22" s="88">
        <f t="shared" si="2"/>
        <v>7.0954051217463171E-5</v>
      </c>
      <c r="L22" s="6"/>
    </row>
    <row r="23" spans="1:12" x14ac:dyDescent="0.25">
      <c r="A23" s="258" t="s">
        <v>481</v>
      </c>
      <c r="B23" s="6">
        <f>SUM('Table 3.24-CIOSS Detail'!E20,'Table 3.24-CIOSS Detail'!E24)</f>
        <v>10943.943727961732</v>
      </c>
      <c r="C23" s="11" t="s">
        <v>244</v>
      </c>
      <c r="D23" s="61">
        <f t="shared" si="0"/>
        <v>4.9483068919451034E-2</v>
      </c>
      <c r="E23" s="205"/>
      <c r="F23" s="108">
        <f>SUM('Table 3.24-CIOSS Detail'!K20,'Table 3.24-CIOSS Detail'!K24)</f>
        <v>541.53992174132429</v>
      </c>
      <c r="G23" s="11" t="s">
        <v>244</v>
      </c>
      <c r="H23" s="99">
        <f t="shared" si="1"/>
        <v>9.2539621618658221E-3</v>
      </c>
      <c r="J23" s="88">
        <f t="shared" si="2"/>
        <v>4.5791444743359855E-4</v>
      </c>
      <c r="L23" s="6"/>
    </row>
    <row r="24" spans="1:12" x14ac:dyDescent="0.25">
      <c r="A24" s="258" t="s">
        <v>95</v>
      </c>
      <c r="B24" s="6">
        <f>SUM('Table 3.28-REC Volume'!G20,'Table 3.28-REC Volume'!G24)</f>
        <v>2393.1489800670684</v>
      </c>
      <c r="C24" s="11" t="s">
        <v>582</v>
      </c>
      <c r="D24" s="61">
        <f t="shared" si="0"/>
        <v>0</v>
      </c>
      <c r="F24" s="108">
        <v>0</v>
      </c>
      <c r="H24" s="99">
        <f t="shared" si="1"/>
        <v>2.0235950275096183E-3</v>
      </c>
      <c r="J24" s="88">
        <f t="shared" si="2"/>
        <v>0</v>
      </c>
      <c r="L24" s="6"/>
    </row>
    <row r="25" spans="1:12" x14ac:dyDescent="0.25">
      <c r="A25" s="166" t="s">
        <v>499</v>
      </c>
      <c r="B25" s="6">
        <f>SUM('Table 3.28-REC Volume'!H20)</f>
        <v>7833.0902365463071</v>
      </c>
      <c r="C25" s="11" t="s">
        <v>582</v>
      </c>
      <c r="D25" s="61">
        <f t="shared" si="0"/>
        <v>0.10559546049249727</v>
      </c>
      <c r="E25" s="205"/>
      <c r="F25" s="108">
        <f>SUM('Table 3.26-REC Detail NonACS'!K20)</f>
        <v>827.13877060739162</v>
      </c>
      <c r="G25" s="11" t="s">
        <v>590</v>
      </c>
      <c r="H25" s="99">
        <f t="shared" si="1"/>
        <v>6.6234917193767938E-3</v>
      </c>
      <c r="J25" s="88">
        <f t="shared" si="2"/>
        <v>6.9941065817583504E-4</v>
      </c>
      <c r="L25" s="6"/>
    </row>
    <row r="26" spans="1:12" ht="12.75" customHeight="1" x14ac:dyDescent="0.25">
      <c r="A26" s="166" t="s">
        <v>677</v>
      </c>
      <c r="B26" s="6">
        <f>SUM('Table 3.28-REC Volume'!H24)</f>
        <v>178.75634889561715</v>
      </c>
      <c r="C26" s="11" t="s">
        <v>582</v>
      </c>
      <c r="D26" s="61">
        <f t="shared" si="0"/>
        <v>5.2797730246248641E-2</v>
      </c>
      <c r="E26" s="205"/>
      <c r="F26" s="108">
        <f>SUM('Table 3.26-REC Detail NonACS'!K24)</f>
        <v>9.4379294887951009</v>
      </c>
      <c r="G26" s="11" t="s">
        <v>590</v>
      </c>
      <c r="H26" s="99">
        <f t="shared" si="1"/>
        <v>1.5115250315540646E-4</v>
      </c>
      <c r="J26" s="88">
        <f t="shared" si="2"/>
        <v>7.9805090876443969E-6</v>
      </c>
      <c r="L26" s="6"/>
    </row>
    <row r="27" spans="1:12" x14ac:dyDescent="0.25">
      <c r="A27" s="166" t="s">
        <v>489</v>
      </c>
      <c r="B27" s="6">
        <f>'Table 3.21-CFS CIOSS Rejs'!B14-B17</f>
        <v>538.9481624527416</v>
      </c>
      <c r="C27" s="205" t="s">
        <v>594</v>
      </c>
      <c r="D27" s="61">
        <f>'Table 3.21-CFS CIOSS Rejs'!I13</f>
        <v>0.31369060299387669</v>
      </c>
      <c r="E27" s="11" t="s">
        <v>592</v>
      </c>
      <c r="F27" s="81">
        <f>B27*D27</f>
        <v>169.06297406224232</v>
      </c>
      <c r="H27" s="99">
        <f t="shared" si="1"/>
        <v>4.5572291182400572E-4</v>
      </c>
      <c r="J27" s="88">
        <f t="shared" si="2"/>
        <v>1.4295599500819764E-4</v>
      </c>
      <c r="L27" s="6"/>
    </row>
    <row r="28" spans="1:12" ht="12.75" customHeight="1" x14ac:dyDescent="0.25">
      <c r="A28" s="60" t="s">
        <v>102</v>
      </c>
      <c r="B28" s="6">
        <f>B21</f>
        <v>10943.94372796173</v>
      </c>
      <c r="D28" s="61">
        <f>F28/B28</f>
        <v>0.22321335785171201</v>
      </c>
      <c r="F28" s="81">
        <f>SUM(F21:F27)</f>
        <v>2442.8344276585208</v>
      </c>
      <c r="H28" s="104"/>
      <c r="J28" s="19">
        <f>SUM(J21:J27)</f>
        <v>2.065607967582758E-3</v>
      </c>
      <c r="L28" s="6"/>
    </row>
    <row r="29" spans="1:12" ht="5.15" customHeight="1" x14ac:dyDescent="0.25">
      <c r="A29" s="60"/>
      <c r="B29" s="6"/>
      <c r="F29" s="81"/>
      <c r="H29" s="104"/>
      <c r="L29" s="6"/>
    </row>
    <row r="30" spans="1:12" ht="12.75" customHeight="1" x14ac:dyDescent="0.3">
      <c r="A30" s="14" t="s">
        <v>607</v>
      </c>
      <c r="B30" s="6"/>
      <c r="F30" s="81"/>
      <c r="H30" s="104"/>
      <c r="L30" s="6"/>
    </row>
    <row r="31" spans="1:12" ht="12.75" customHeight="1" x14ac:dyDescent="0.25">
      <c r="A31" s="258" t="s">
        <v>307</v>
      </c>
      <c r="B31" s="6">
        <f>'Table 3.16-Route UAA PARS'!D99</f>
        <v>840244.92362974887</v>
      </c>
      <c r="C31" s="205" t="s">
        <v>593</v>
      </c>
      <c r="D31" s="61">
        <f>F31/B31</f>
        <v>7.534172232656873E-2</v>
      </c>
      <c r="F31" s="108">
        <f>'Table 3.16-Route UAA PARS'!J99</f>
        <v>63305.499722421482</v>
      </c>
      <c r="G31" s="205" t="s">
        <v>593</v>
      </c>
      <c r="H31" s="99">
        <f t="shared" ref="H31:H37" si="3">B31/$B$68</f>
        <v>0.7104929377609025</v>
      </c>
      <c r="J31" s="88">
        <f t="shared" ref="J31:J37" si="4">D31*H31</f>
        <v>5.3529761631769993E-2</v>
      </c>
      <c r="L31" s="6"/>
    </row>
    <row r="32" spans="1:12" ht="12.75" customHeight="1" x14ac:dyDescent="0.25">
      <c r="A32" s="258" t="s">
        <v>495</v>
      </c>
      <c r="B32" s="6">
        <f>'Table 3.18-Nixie UAA'!D9</f>
        <v>840244.92362974887</v>
      </c>
      <c r="C32" s="11" t="s">
        <v>587</v>
      </c>
      <c r="D32" s="61">
        <f>F32/B32</f>
        <v>9.182776336199799E-3</v>
      </c>
      <c r="F32" s="108">
        <f>'Table 3.18-Nixie UAA'!I9</f>
        <v>7715.7812013192652</v>
      </c>
      <c r="G32" s="11" t="s">
        <v>587</v>
      </c>
      <c r="H32" s="99">
        <f t="shared" si="3"/>
        <v>0.7104929377609025</v>
      </c>
      <c r="J32" s="88">
        <f t="shared" si="4"/>
        <v>6.524297735907892E-3</v>
      </c>
      <c r="L32" s="6"/>
    </row>
    <row r="33" spans="1:12" ht="12.75" customHeight="1" x14ac:dyDescent="0.25">
      <c r="A33" s="258" t="s">
        <v>481</v>
      </c>
      <c r="B33" s="6">
        <f>SUM('Table 3.24-CIOSS Detail'!E27,'Table 3.24-CIOSS Detail'!E34)</f>
        <v>840244.92362974863</v>
      </c>
      <c r="C33" s="11" t="s">
        <v>244</v>
      </c>
      <c r="D33" s="61">
        <f>F33/B33</f>
        <v>-3.1097825849028576E-2</v>
      </c>
      <c r="F33" s="108">
        <f>SUM('Table 3.24-CIOSS Detail'!K27,'Table 3.24-CIOSS Detail'!K34)</f>
        <v>-26129.79030556824</v>
      </c>
      <c r="G33" s="11" t="s">
        <v>244</v>
      </c>
      <c r="H33" s="99">
        <f t="shared" si="3"/>
        <v>0.71049293776090228</v>
      </c>
      <c r="J33" s="88">
        <f t="shared" si="4"/>
        <v>-2.2094785645453238E-2</v>
      </c>
      <c r="L33" s="6"/>
    </row>
    <row r="34" spans="1:12" ht="12.75" customHeight="1" x14ac:dyDescent="0.25">
      <c r="A34" s="258" t="s">
        <v>95</v>
      </c>
      <c r="B34" s="6">
        <f>SUM('Table 3.28-REC Volume'!G27,'Table 3.28-REC Volume'!G34)</f>
        <v>319112.61444217665</v>
      </c>
      <c r="C34" s="11" t="s">
        <v>582</v>
      </c>
      <c r="D34" s="61">
        <f>F34/B34</f>
        <v>0</v>
      </c>
      <c r="F34" s="108">
        <v>0</v>
      </c>
      <c r="H34" s="99">
        <f t="shared" si="3"/>
        <v>0.26983472620358356</v>
      </c>
      <c r="J34" s="88">
        <f t="shared" si="4"/>
        <v>0</v>
      </c>
      <c r="L34" s="6"/>
    </row>
    <row r="35" spans="1:12" ht="12.75" customHeight="1" x14ac:dyDescent="0.25">
      <c r="A35" s="166" t="s">
        <v>499</v>
      </c>
      <c r="B35" s="6">
        <f>SUM('Table 3.28-REC Volume'!H27,'Table 3.28-REC Volume'!H34)</f>
        <v>479120.0630060847</v>
      </c>
      <c r="C35" s="11" t="s">
        <v>582</v>
      </c>
      <c r="D35" s="61">
        <f>F35/B35</f>
        <v>-2.5842043264206284E-2</v>
      </c>
      <c r="F35" s="108">
        <f>SUM('Table 3.26-REC Detail NonACS'!K27,'Table 3.26-REC Detail NonACS'!K34)</f>
        <v>-12381.441396952481</v>
      </c>
      <c r="G35" s="11" t="s">
        <v>590</v>
      </c>
      <c r="H35" s="99">
        <f t="shared" si="3"/>
        <v>0.40513356466927369</v>
      </c>
      <c r="J35" s="88">
        <f t="shared" si="4"/>
        <v>-1.0469479105965485E-2</v>
      </c>
      <c r="L35" s="6"/>
    </row>
    <row r="36" spans="1:12" ht="12.75" customHeight="1" x14ac:dyDescent="0.25">
      <c r="A36" s="166" t="s">
        <v>677</v>
      </c>
      <c r="B36" s="6">
        <v>0</v>
      </c>
      <c r="C36" s="11"/>
      <c r="D36" s="61">
        <v>0</v>
      </c>
      <c r="F36" s="81">
        <v>0</v>
      </c>
      <c r="H36" s="99">
        <f t="shared" si="3"/>
        <v>0</v>
      </c>
      <c r="J36" s="88">
        <f t="shared" si="4"/>
        <v>0</v>
      </c>
      <c r="L36" s="6"/>
    </row>
    <row r="37" spans="1:12" ht="12.75" customHeight="1" x14ac:dyDescent="0.25">
      <c r="A37" s="166" t="s">
        <v>488</v>
      </c>
      <c r="B37" s="6">
        <f>'Table 3.18-Nixie UAA'!D33-B9</f>
        <v>42012.246181487448</v>
      </c>
      <c r="C37" s="11" t="s">
        <v>622</v>
      </c>
      <c r="D37" s="61">
        <f>'Table 3.18-Nixie UAA'!J33</f>
        <v>0.15061383180161891</v>
      </c>
      <c r="E37" s="11" t="s">
        <v>587</v>
      </c>
      <c r="F37" s="81">
        <f>B37*D37</f>
        <v>6327.6253799867573</v>
      </c>
      <c r="H37" s="99">
        <f t="shared" si="3"/>
        <v>3.5524646888045124E-2</v>
      </c>
      <c r="J37" s="88">
        <f t="shared" si="4"/>
        <v>5.3505031912079327E-3</v>
      </c>
      <c r="L37" s="6"/>
    </row>
    <row r="38" spans="1:12" ht="12.75" customHeight="1" x14ac:dyDescent="0.25">
      <c r="A38" s="60" t="s">
        <v>102</v>
      </c>
      <c r="B38" s="6">
        <f>B31</f>
        <v>840244.92362974887</v>
      </c>
      <c r="F38" s="81">
        <f>SUM(F31:F37)</f>
        <v>38837.674601206782</v>
      </c>
      <c r="H38" s="104"/>
      <c r="J38" s="19">
        <f>SUM(J31:J37)</f>
        <v>3.2840297807467091E-2</v>
      </c>
      <c r="L38" s="6"/>
    </row>
    <row r="39" spans="1:12" ht="5.15" customHeight="1" x14ac:dyDescent="0.25">
      <c r="A39" s="60"/>
      <c r="B39" s="6"/>
      <c r="F39" s="81"/>
      <c r="H39" s="104"/>
      <c r="L39" s="6"/>
    </row>
    <row r="40" spans="1:12" ht="15.75" customHeight="1" x14ac:dyDescent="0.35">
      <c r="A40" s="117" t="s">
        <v>19</v>
      </c>
      <c r="B40" s="16"/>
      <c r="C40" s="16"/>
      <c r="D40" s="16"/>
      <c r="E40" s="16"/>
      <c r="F40" s="16"/>
      <c r="G40" s="16"/>
      <c r="H40" s="16"/>
      <c r="I40" s="16"/>
      <c r="J40" s="16"/>
      <c r="L40" s="6"/>
    </row>
    <row r="41" spans="1:12" ht="15.75" customHeight="1" x14ac:dyDescent="0.35">
      <c r="A41" s="117" t="s">
        <v>787</v>
      </c>
      <c r="B41" s="16"/>
      <c r="C41" s="16"/>
      <c r="D41" s="16"/>
      <c r="E41" s="16"/>
      <c r="F41" s="16"/>
      <c r="G41" s="16"/>
      <c r="H41" s="16"/>
      <c r="I41" s="16"/>
      <c r="J41" s="16"/>
      <c r="L41" s="6"/>
    </row>
    <row r="42" spans="1:12" ht="25.5" customHeight="1" x14ac:dyDescent="0.25">
      <c r="B42" s="125" t="s">
        <v>109</v>
      </c>
      <c r="C42" s="125"/>
      <c r="D42" s="126" t="s">
        <v>104</v>
      </c>
      <c r="E42" s="126"/>
      <c r="F42" s="125" t="s">
        <v>110</v>
      </c>
      <c r="G42" s="125"/>
      <c r="H42" s="127" t="s">
        <v>97</v>
      </c>
      <c r="I42" s="127"/>
      <c r="J42" s="128" t="s">
        <v>105</v>
      </c>
      <c r="L42" s="6"/>
    </row>
    <row r="43" spans="1:12" ht="12.75" customHeight="1" x14ac:dyDescent="0.3">
      <c r="A43" s="14" t="s">
        <v>608</v>
      </c>
      <c r="B43" s="6"/>
      <c r="F43" s="81"/>
      <c r="H43" s="104"/>
      <c r="L43" s="6"/>
    </row>
    <row r="44" spans="1:12" ht="12.75" customHeight="1" x14ac:dyDescent="0.25">
      <c r="A44" s="258" t="s">
        <v>481</v>
      </c>
      <c r="B44" s="6">
        <f>'Table 3.24-CIOSS Detail'!E15</f>
        <v>4023.3972916898911</v>
      </c>
      <c r="C44" s="11" t="s">
        <v>244</v>
      </c>
      <c r="D44" s="61">
        <f>F44/B44</f>
        <v>6.5718313089960748E-2</v>
      </c>
      <c r="F44" s="81">
        <f>'Table 3.24-CIOSS Detail'!K15</f>
        <v>264.41088290057638</v>
      </c>
      <c r="G44" s="11" t="s">
        <v>244</v>
      </c>
      <c r="H44" s="99">
        <f>B44/$B$68</f>
        <v>3.4020977469322263E-3</v>
      </c>
      <c r="J44" s="88">
        <f>D44*H44</f>
        <v>2.2358012489554209E-4</v>
      </c>
      <c r="L44" s="6"/>
    </row>
    <row r="45" spans="1:12" ht="12.75" customHeight="1" x14ac:dyDescent="0.25">
      <c r="A45" s="258" t="s">
        <v>95</v>
      </c>
      <c r="B45" s="6">
        <f>'Table 3.28-REC Volume'!G15</f>
        <v>1585.218532925817</v>
      </c>
      <c r="C45" s="11" t="s">
        <v>582</v>
      </c>
      <c r="D45" s="61">
        <f>F45/B45</f>
        <v>0</v>
      </c>
      <c r="F45" s="81">
        <v>0</v>
      </c>
      <c r="H45" s="99">
        <f>B45/$B$68</f>
        <v>1.3404265122912971E-3</v>
      </c>
      <c r="J45" s="88">
        <f>D45*H45</f>
        <v>0</v>
      </c>
      <c r="L45" s="6"/>
    </row>
    <row r="46" spans="1:12" ht="12.75" customHeight="1" x14ac:dyDescent="0.25">
      <c r="A46" s="166" t="s">
        <v>499</v>
      </c>
      <c r="B46" s="6">
        <v>0</v>
      </c>
      <c r="C46" s="11"/>
      <c r="D46" s="61">
        <v>0</v>
      </c>
      <c r="F46" s="108">
        <v>0</v>
      </c>
      <c r="H46" s="99">
        <f>B46/$B$68</f>
        <v>0</v>
      </c>
      <c r="J46" s="88">
        <f>D46*H46</f>
        <v>0</v>
      </c>
      <c r="L46" s="6"/>
    </row>
    <row r="47" spans="1:12" ht="12.75" customHeight="1" x14ac:dyDescent="0.25">
      <c r="A47" s="166" t="s">
        <v>677</v>
      </c>
      <c r="B47" s="6">
        <f>'Table 3.28-REC Volume'!H15</f>
        <v>2377.8277993887255</v>
      </c>
      <c r="C47" s="11" t="s">
        <v>582</v>
      </c>
      <c r="D47" s="61">
        <f>F47/B47</f>
        <v>5.2797730246248641E-2</v>
      </c>
      <c r="E47" s="205"/>
      <c r="F47" s="81">
        <f>SUM('Table 3.26-REC Detail NonACS'!K15)</f>
        <v>125.54391072415696</v>
      </c>
      <c r="G47" s="11" t="s">
        <v>590</v>
      </c>
      <c r="H47" s="99">
        <f>B47/$B$68</f>
        <v>2.0106397684369458E-3</v>
      </c>
      <c r="J47" s="88">
        <f>D47*H47</f>
        <v>1.0615721611631369E-4</v>
      </c>
      <c r="L47" s="6"/>
    </row>
    <row r="48" spans="1:12" ht="12.75" customHeight="1" x14ac:dyDescent="0.25">
      <c r="A48" s="166" t="s">
        <v>489</v>
      </c>
      <c r="B48" s="6">
        <v>60.350959375348339</v>
      </c>
      <c r="C48" s="11" t="s">
        <v>623</v>
      </c>
      <c r="D48" s="61">
        <f>'Table 3.21-CFS CIOSS Rejs'!I71</f>
        <v>2.5265756927347175E-2</v>
      </c>
      <c r="E48" s="11" t="s">
        <v>592</v>
      </c>
      <c r="F48" s="81">
        <f>B48*D48</f>
        <v>1.5248126699097553</v>
      </c>
      <c r="H48" s="99">
        <f>B48/$B$68</f>
        <v>5.103146620398337E-5</v>
      </c>
      <c r="J48" s="88">
        <f>D48*H48</f>
        <v>1.2893486207559761E-6</v>
      </c>
      <c r="L48" s="6"/>
    </row>
    <row r="49" spans="1:12" ht="12.75" customHeight="1" x14ac:dyDescent="0.25">
      <c r="A49" s="60" t="s">
        <v>102</v>
      </c>
      <c r="B49" s="6">
        <f>B44</f>
        <v>4023.3972916898911</v>
      </c>
      <c r="D49" s="61">
        <f>F49/B49</f>
        <v>9.7300758019403896E-2</v>
      </c>
      <c r="F49" s="81">
        <f>SUM(F44:F48)</f>
        <v>391.47960629464308</v>
      </c>
      <c r="H49" s="104"/>
      <c r="J49" s="19">
        <f>SUM(J44:J48)</f>
        <v>3.3102668963261176E-4</v>
      </c>
      <c r="L49" s="6"/>
    </row>
    <row r="50" spans="1:12" ht="5.15" customHeight="1" x14ac:dyDescent="0.25">
      <c r="A50" s="60"/>
      <c r="B50" s="6"/>
      <c r="F50" s="81"/>
      <c r="H50" s="104"/>
      <c r="L50" s="6"/>
    </row>
    <row r="51" spans="1:12" ht="12.75" customHeight="1" x14ac:dyDescent="0.3">
      <c r="A51" s="14" t="s">
        <v>609</v>
      </c>
      <c r="B51" s="6"/>
      <c r="F51" s="81"/>
      <c r="H51" s="104"/>
      <c r="L51" s="6"/>
    </row>
    <row r="52" spans="1:12" ht="12.75" customHeight="1" x14ac:dyDescent="0.25">
      <c r="A52" s="258" t="s">
        <v>307</v>
      </c>
      <c r="B52" s="6">
        <f>'Table 3.16-Route UAA PARS'!D100</f>
        <v>98245.108680747901</v>
      </c>
      <c r="C52" s="205" t="s">
        <v>593</v>
      </c>
      <c r="D52" s="61">
        <f>F52/B52</f>
        <v>7.3953824220545417E-2</v>
      </c>
      <c r="F52" s="81">
        <f>'Table 3.16-Route UAA PARS'!J100</f>
        <v>7265.6014979044103</v>
      </c>
      <c r="G52" s="205" t="s">
        <v>593</v>
      </c>
      <c r="H52" s="99">
        <f t="shared" ref="H52:H58" si="5">B52/$B$68</f>
        <v>8.3073939424336149E-2</v>
      </c>
      <c r="J52" s="88">
        <f t="shared" ref="J52:J58" si="6">D52*H52</f>
        <v>6.1436355134955939E-3</v>
      </c>
      <c r="L52" s="6"/>
    </row>
    <row r="53" spans="1:12" ht="12.75" customHeight="1" x14ac:dyDescent="0.25">
      <c r="A53" s="258" t="s">
        <v>495</v>
      </c>
      <c r="B53" s="6">
        <f>'Table 3.18-Nixie UAA'!D10</f>
        <v>98245.108680747915</v>
      </c>
      <c r="C53" s="11" t="s">
        <v>587</v>
      </c>
      <c r="D53" s="61">
        <f>F53/B53</f>
        <v>7.6674239613658771E-3</v>
      </c>
      <c r="F53" s="81">
        <f>'Table 3.18-Nixie UAA'!I10</f>
        <v>753.28690038576133</v>
      </c>
      <c r="G53" s="11" t="s">
        <v>587</v>
      </c>
      <c r="H53" s="99">
        <f t="shared" si="5"/>
        <v>8.3073939424336163E-2</v>
      </c>
      <c r="J53" s="88">
        <f t="shared" si="6"/>
        <v>6.3696311370721253E-4</v>
      </c>
      <c r="L53" s="6"/>
    </row>
    <row r="54" spans="1:12" ht="12.75" customHeight="1" x14ac:dyDescent="0.25">
      <c r="A54" s="258" t="s">
        <v>481</v>
      </c>
      <c r="B54" s="6">
        <f>SUM('Table 3.24-CIOSS Detail'!E30,'Table 3.24-CIOSS Detail'!E36)</f>
        <v>98245.108680747901</v>
      </c>
      <c r="C54" s="11" t="s">
        <v>244</v>
      </c>
      <c r="D54" s="61">
        <f>F54/B54</f>
        <v>3.3533059497198231E-2</v>
      </c>
      <c r="F54" s="81">
        <f>SUM('Table 3.24-CIOSS Detail'!K30,'Table 3.24-CIOSS Detail'!K36)</f>
        <v>3294.4590747002258</v>
      </c>
      <c r="G54" s="11" t="s">
        <v>244</v>
      </c>
      <c r="H54" s="99">
        <f t="shared" si="5"/>
        <v>8.3073939424336149E-2</v>
      </c>
      <c r="J54" s="88">
        <f t="shared" si="6"/>
        <v>2.7857233533829058E-3</v>
      </c>
      <c r="L54" s="6"/>
    </row>
    <row r="55" spans="1:12" ht="12.75" customHeight="1" x14ac:dyDescent="0.25">
      <c r="A55" s="258" t="s">
        <v>95</v>
      </c>
      <c r="B55" s="6">
        <f>SUM('Table 3.28-REC Volume'!G30,'Table 3.28-REC Volume'!G36)</f>
        <v>38673.113984609758</v>
      </c>
      <c r="C55" s="11" t="s">
        <v>582</v>
      </c>
      <c r="D55" s="61">
        <f>F55/B55</f>
        <v>0</v>
      </c>
      <c r="F55" s="81">
        <v>0</v>
      </c>
      <c r="H55" s="99">
        <f t="shared" si="5"/>
        <v>3.2701148908571405E-2</v>
      </c>
      <c r="J55" s="88">
        <f t="shared" si="6"/>
        <v>0</v>
      </c>
      <c r="L55" s="6"/>
    </row>
    <row r="56" spans="1:12" ht="12.75" customHeight="1" x14ac:dyDescent="0.25">
      <c r="A56" s="166" t="s">
        <v>499</v>
      </c>
      <c r="B56" s="6">
        <v>0</v>
      </c>
      <c r="D56" s="61">
        <v>0</v>
      </c>
      <c r="F56" s="108">
        <v>0</v>
      </c>
      <c r="H56" s="99">
        <f t="shared" si="5"/>
        <v>0</v>
      </c>
      <c r="J56" s="88">
        <f t="shared" si="6"/>
        <v>0</v>
      </c>
      <c r="L56" s="6"/>
    </row>
    <row r="57" spans="1:12" ht="12.75" customHeight="1" x14ac:dyDescent="0.25">
      <c r="A57" s="166" t="s">
        <v>677</v>
      </c>
      <c r="B57" s="6">
        <f>SUM('Table 3.28-REC Volume'!H30,'Table 3.28-REC Volume'!H36)</f>
        <v>58098.318065926927</v>
      </c>
      <c r="C57" s="11" t="s">
        <v>582</v>
      </c>
      <c r="D57" s="61">
        <f>F57/B57</f>
        <v>5.2797730246248634E-2</v>
      </c>
      <c r="E57" s="205"/>
      <c r="F57" s="108">
        <f>SUM('Table 3.26-REC Detail NonACS'!K30,'Table 3.26-REC Detail NonACS'!K36)</f>
        <v>3067.4593250055636</v>
      </c>
      <c r="G57" s="11" t="s">
        <v>590</v>
      </c>
      <c r="H57" s="99">
        <f t="shared" si="5"/>
        <v>4.9126681424399708E-2</v>
      </c>
      <c r="J57" s="88">
        <f t="shared" si="6"/>
        <v>2.5937772737388495E-3</v>
      </c>
      <c r="L57" s="6"/>
    </row>
    <row r="58" spans="1:12" ht="12.75" customHeight="1" x14ac:dyDescent="0.25">
      <c r="A58" s="166" t="s">
        <v>489</v>
      </c>
      <c r="B58" s="6">
        <f>'Table 3.21-CFS CIOSS Rejs'!B71-B48</f>
        <v>1473.6766302112185</v>
      </c>
      <c r="C58" s="11" t="s">
        <v>624</v>
      </c>
      <c r="D58" s="61">
        <f>'Table 3.21-CFS CIOSS Rejs'!I71</f>
        <v>2.5265756927347175E-2</v>
      </c>
      <c r="E58" s="11" t="s">
        <v>592</v>
      </c>
      <c r="F58" s="81">
        <f>B58*D58</f>
        <v>37.233555528428738</v>
      </c>
      <c r="H58" s="99">
        <f t="shared" si="5"/>
        <v>1.2461090913650423E-3</v>
      </c>
      <c r="J58" s="88">
        <f t="shared" si="6"/>
        <v>3.148388940738661E-5</v>
      </c>
      <c r="L58" s="6"/>
    </row>
    <row r="59" spans="1:12" ht="12.75" customHeight="1" x14ac:dyDescent="0.25">
      <c r="A59" s="60" t="s">
        <v>102</v>
      </c>
      <c r="B59" s="6">
        <f>B52</f>
        <v>98245.108680747901</v>
      </c>
      <c r="D59" s="61">
        <f>F59/B59</f>
        <v>0.14675580847873546</v>
      </c>
      <c r="F59" s="81">
        <f>SUM(F52:F58)</f>
        <v>14418.04035352439</v>
      </c>
      <c r="H59" s="104"/>
      <c r="J59" s="19">
        <f>SUM(J52:J58)</f>
        <v>1.2191583143731949E-2</v>
      </c>
    </row>
    <row r="60" spans="1:12" ht="5.15" customHeight="1" x14ac:dyDescent="0.25">
      <c r="A60" s="60"/>
      <c r="B60" s="6"/>
      <c r="F60" s="81"/>
      <c r="H60" s="104"/>
    </row>
    <row r="61" spans="1:12" ht="12.75" customHeight="1" x14ac:dyDescent="0.3">
      <c r="A61" s="14" t="s">
        <v>610</v>
      </c>
      <c r="B61" s="6"/>
      <c r="F61" s="81"/>
      <c r="H61" s="104"/>
    </row>
    <row r="62" spans="1:12" ht="12.75" customHeight="1" x14ac:dyDescent="0.25">
      <c r="A62" s="258" t="s">
        <v>320</v>
      </c>
      <c r="B62" s="6">
        <f>SUM(B10,B18,B28,B38,B49,B59)</f>
        <v>1182622.4850000001</v>
      </c>
      <c r="D62" s="61">
        <f>'Table 3.30-UAA MP Cost'!D24</f>
        <v>0.44437153303478671</v>
      </c>
      <c r="E62" s="11" t="s">
        <v>626</v>
      </c>
      <c r="F62" s="81">
        <f>B62*D62</f>
        <v>525523.76666085911</v>
      </c>
      <c r="H62" s="99">
        <f>B62/$B$68</f>
        <v>1</v>
      </c>
      <c r="J62" s="88">
        <f>D62*H62</f>
        <v>0.44437153303478671</v>
      </c>
    </row>
    <row r="63" spans="1:12" x14ac:dyDescent="0.25">
      <c r="A63" s="258" t="s">
        <v>99</v>
      </c>
      <c r="B63" s="6">
        <f>'Table 3.35-PD Vols'!B14</f>
        <v>1435.4002011616583</v>
      </c>
      <c r="C63" s="11" t="s">
        <v>625</v>
      </c>
      <c r="D63" s="61">
        <f>'Table 3.32-Accounting Post Due'!I13</f>
        <v>3.2507701047636788</v>
      </c>
      <c r="E63" s="11" t="s">
        <v>627</v>
      </c>
      <c r="F63" s="81">
        <f>B63*D63</f>
        <v>4666.1560623080895</v>
      </c>
      <c r="H63" s="99">
        <f>B63/$B$68</f>
        <v>1.2137433706595373E-3</v>
      </c>
      <c r="J63" s="88">
        <f>D63*H63</f>
        <v>3.9456006641951247E-3</v>
      </c>
    </row>
    <row r="64" spans="1:12" x14ac:dyDescent="0.25">
      <c r="A64" s="258" t="s">
        <v>100</v>
      </c>
      <c r="B64" s="6">
        <f>'Table 3.35-PD Vols'!B15</f>
        <v>1187.7069774454876</v>
      </c>
      <c r="C64" s="11" t="s">
        <v>625</v>
      </c>
      <c r="D64" s="61">
        <f>'Table 3.33-Delivery Post Due'!I20</f>
        <v>0.89988403767786562</v>
      </c>
      <c r="E64" s="11" t="s">
        <v>628</v>
      </c>
      <c r="F64" s="81">
        <f>B64*D64</f>
        <v>1068.7985504418191</v>
      </c>
      <c r="H64" s="99">
        <f>B64/$B$68</f>
        <v>1.004299336863604E-3</v>
      </c>
      <c r="J64" s="88">
        <f>D64*H64</f>
        <v>9.0375294229402294E-4</v>
      </c>
    </row>
    <row r="65" spans="1:11" x14ac:dyDescent="0.25">
      <c r="A65" s="258" t="s">
        <v>210</v>
      </c>
      <c r="B65" s="6">
        <f>'Table 3.35-PD Vols'!B16</f>
        <v>136.60229946516074</v>
      </c>
      <c r="C65" s="11" t="s">
        <v>625</v>
      </c>
      <c r="D65" s="61">
        <f>'Table 3.34-Window Post Due'!I13</f>
        <v>0.49923740110555215</v>
      </c>
      <c r="E65" s="11" t="s">
        <v>629</v>
      </c>
      <c r="F65" s="81">
        <f>B65*D65</f>
        <v>68.196976970029198</v>
      </c>
      <c r="H65" s="99">
        <f>B65/$B$68</f>
        <v>1.1550795050642109E-4</v>
      </c>
      <c r="J65" s="88">
        <f>D65*H65</f>
        <v>5.7665889017854414E-5</v>
      </c>
    </row>
    <row r="66" spans="1:11" x14ac:dyDescent="0.25">
      <c r="A66" s="60" t="s">
        <v>102</v>
      </c>
      <c r="B66" s="6">
        <f>B62</f>
        <v>1182622.4850000001</v>
      </c>
      <c r="D66" s="61">
        <f>F66/B66</f>
        <v>0.44927855253029381</v>
      </c>
      <c r="F66" s="108">
        <f>SUM(F62:F65)</f>
        <v>531326.91825057915</v>
      </c>
      <c r="H66" s="104"/>
      <c r="J66" s="19">
        <f>SUM(J62:J65)</f>
        <v>0.4492785525302937</v>
      </c>
    </row>
    <row r="67" spans="1:11" ht="5.15" customHeight="1" x14ac:dyDescent="0.3">
      <c r="A67" s="14"/>
      <c r="B67" s="6"/>
      <c r="D67" s="61"/>
      <c r="F67" s="108"/>
      <c r="H67" s="104"/>
    </row>
    <row r="68" spans="1:11" ht="13" x14ac:dyDescent="0.3">
      <c r="A68" s="14" t="s">
        <v>504</v>
      </c>
      <c r="B68" s="260">
        <f>SUM(B10,B18,B28,B38,B49,B59)</f>
        <v>1182622.4850000001</v>
      </c>
      <c r="D68" s="61"/>
      <c r="F68" s="368">
        <f>SUM(F10,F18,F28,F38,F49,F59,F66)</f>
        <v>619512.87937470293</v>
      </c>
      <c r="H68" s="104"/>
      <c r="J68" s="311">
        <f>SUM(J10,J18,J28,J38,J49,J59,J66)</f>
        <v>0.52384669430219966</v>
      </c>
    </row>
    <row r="69" spans="1:11" ht="13" hidden="1" x14ac:dyDescent="0.3">
      <c r="A69" s="14"/>
      <c r="B69" s="6"/>
      <c r="D69" s="61"/>
      <c r="F69" s="108"/>
      <c r="H69" s="104"/>
    </row>
    <row r="70" spans="1:11" ht="13" hidden="1" x14ac:dyDescent="0.3">
      <c r="A70" s="5"/>
      <c r="B70" s="167"/>
      <c r="F70" s="262"/>
      <c r="H70" s="6"/>
      <c r="J70" s="6"/>
    </row>
    <row r="71" spans="1:11" hidden="1" x14ac:dyDescent="0.25">
      <c r="A71" s="20" t="s">
        <v>191</v>
      </c>
      <c r="B71" s="105">
        <f>B5-SUM(B6:B9)</f>
        <v>0</v>
      </c>
      <c r="G71" s="365" t="s">
        <v>311</v>
      </c>
      <c r="H71" s="6">
        <f>SUM('Table 3.16-Route UAA PARS'!J99,'Table 3.16-Route UAA PARS'!J100,'Table 3.16-Route UAA PARS'!J107)</f>
        <v>71382.844195713042</v>
      </c>
      <c r="J71" s="6">
        <f>SUM(F21,F31,F52)</f>
        <v>71382.844195713042</v>
      </c>
      <c r="K71" s="105">
        <f t="shared" ref="K71:K78" si="7">H71-J71</f>
        <v>0</v>
      </c>
    </row>
    <row r="72" spans="1:11" ht="13" hidden="1" x14ac:dyDescent="0.3">
      <c r="A72" s="5"/>
      <c r="B72" s="105">
        <f>B13-SUM(B14:B17)</f>
        <v>0</v>
      </c>
      <c r="G72" s="36" t="s">
        <v>312</v>
      </c>
      <c r="H72" s="6">
        <f>SUM('Table 3.18-Nixie UAA'!I7,'Table 3.18-Nixie UAA'!I9,'Table 3.18-Nixie UAA'!I10,'Table 3.18-Nixie UAA'!I33,'Table 3.18-Nixie UAA'!I34)</f>
        <v>15040.483282360383</v>
      </c>
      <c r="J72" s="6">
        <f>SUM(F9,F22,F32,F37,F53)</f>
        <v>15040.483282360381</v>
      </c>
      <c r="K72" s="105">
        <f t="shared" si="7"/>
        <v>0</v>
      </c>
    </row>
    <row r="73" spans="1:11" ht="13" hidden="1" x14ac:dyDescent="0.3">
      <c r="A73" s="5"/>
      <c r="B73" s="105">
        <f>B28-SUM(B24:B27)</f>
        <v>0</v>
      </c>
      <c r="G73" s="36" t="s">
        <v>313</v>
      </c>
      <c r="H73" s="6">
        <f>SUM('Table 3.21-CFS CIOSS Rejs'!H14,'Table 3.21-CFS CIOSS Rejs'!H71)</f>
        <v>3420.0178494431843</v>
      </c>
      <c r="J73" s="6">
        <f>SUM(F17,F27,F48,F58)</f>
        <v>3420.0178494431843</v>
      </c>
      <c r="K73" s="105">
        <f t="shared" si="7"/>
        <v>0</v>
      </c>
    </row>
    <row r="74" spans="1:11" ht="13" hidden="1" x14ac:dyDescent="0.3">
      <c r="A74" s="5"/>
      <c r="B74" s="105">
        <f>B33-SUM(B34:B37)</f>
        <v>0</v>
      </c>
      <c r="G74" s="365" t="s">
        <v>502</v>
      </c>
      <c r="H74" s="6">
        <f>SUM('Table 3.23-CIOSS Summary'!I5,'Table 3.23-CIOSS Summary'!I9,'Table 3.23-CIOSS Summary'!I12)</f>
        <v>-6969.0358682109763</v>
      </c>
      <c r="J74" s="6">
        <f>SUM(F5,F13,F23,F33,F44,F54)</f>
        <v>-6969.0358682109709</v>
      </c>
      <c r="K74" s="105">
        <f t="shared" si="7"/>
        <v>0</v>
      </c>
    </row>
    <row r="75" spans="1:11" ht="13" hidden="1" x14ac:dyDescent="0.3">
      <c r="A75" s="5"/>
      <c r="B75" s="105">
        <f>B44-SUM(B45:B48)</f>
        <v>0</v>
      </c>
      <c r="G75" s="365" t="s">
        <v>503</v>
      </c>
      <c r="H75" s="6">
        <f>SUM('Table 3.25-REC Summary'!K5,'Table 3.25-REC Summary'!K9,'Table 3.25-REC Summary'!K12)</f>
        <v>5311.651664818075</v>
      </c>
      <c r="J75" s="6">
        <f>SUM(F7:F8,F15:F16,F25:F26,F35:F36,F46:F47,F56:F57)</f>
        <v>5311.651664818075</v>
      </c>
      <c r="K75" s="105">
        <f t="shared" si="7"/>
        <v>0</v>
      </c>
    </row>
    <row r="76" spans="1:11" ht="13" hidden="1" x14ac:dyDescent="0.3">
      <c r="A76" s="5"/>
      <c r="B76" s="105">
        <f>B54-SUM(B55:B58)</f>
        <v>0</v>
      </c>
      <c r="G76" s="36" t="s">
        <v>518</v>
      </c>
      <c r="H76" s="6">
        <f>'Table 3.30-UAA MP Cost'!F24</f>
        <v>525523.76666085911</v>
      </c>
      <c r="J76" s="6">
        <f>F62</f>
        <v>525523.76666085911</v>
      </c>
      <c r="K76" s="105">
        <f t="shared" si="7"/>
        <v>0</v>
      </c>
    </row>
    <row r="77" spans="1:11" ht="13" hidden="1" x14ac:dyDescent="0.3">
      <c r="A77" s="5"/>
      <c r="B77" s="105">
        <f>B68-SUM('Table 3.23-CIOSS Summary'!C5,'Table 3.23-CIOSS Summary'!C9,'Table 3.23-CIOSS Summary'!C12)</f>
        <v>0</v>
      </c>
      <c r="G77" s="36" t="s">
        <v>315</v>
      </c>
      <c r="H77" s="6">
        <f>SUM(F63:F65)</f>
        <v>5803.1515897199379</v>
      </c>
      <c r="J77" s="6">
        <f>SUM(F63:F65)</f>
        <v>5803.1515897199379</v>
      </c>
      <c r="K77" s="105">
        <f t="shared" si="7"/>
        <v>0</v>
      </c>
    </row>
    <row r="78" spans="1:11" ht="13" hidden="1" x14ac:dyDescent="0.3">
      <c r="A78" s="5"/>
      <c r="B78" s="167"/>
      <c r="G78" s="36" t="s">
        <v>314</v>
      </c>
      <c r="H78" s="6">
        <f>SUM(H71:H77)</f>
        <v>619512.87937470269</v>
      </c>
      <c r="J78" s="6">
        <f>SUM(J71:J77)</f>
        <v>619512.87937470281</v>
      </c>
      <c r="K78" s="105">
        <f t="shared" si="7"/>
        <v>0</v>
      </c>
    </row>
    <row r="79" spans="1:11" x14ac:dyDescent="0.25">
      <c r="A79" s="204"/>
      <c r="B79" s="204"/>
      <c r="C79" s="204"/>
      <c r="D79" s="204"/>
      <c r="E79" s="204"/>
      <c r="F79" s="204"/>
      <c r="H79" s="167"/>
    </row>
    <row r="80" spans="1:11" x14ac:dyDescent="0.25">
      <c r="A80" s="12" t="s">
        <v>235</v>
      </c>
    </row>
    <row r="81" spans="1:5" x14ac:dyDescent="0.25">
      <c r="A81" s="11" t="s">
        <v>779</v>
      </c>
      <c r="D81" s="11"/>
      <c r="E81" s="11" t="s">
        <v>620</v>
      </c>
    </row>
    <row r="82" spans="1:5" x14ac:dyDescent="0.25">
      <c r="A82" s="11" t="s">
        <v>66</v>
      </c>
      <c r="D82" s="11"/>
      <c r="E82" s="11" t="s">
        <v>621</v>
      </c>
    </row>
    <row r="83" spans="1:5" x14ac:dyDescent="0.25">
      <c r="A83" s="11" t="s">
        <v>611</v>
      </c>
      <c r="D83" s="11"/>
      <c r="E83" s="11" t="s">
        <v>78</v>
      </c>
    </row>
    <row r="84" spans="1:5" x14ac:dyDescent="0.25">
      <c r="A84" s="11" t="s">
        <v>612</v>
      </c>
      <c r="E84" s="11" t="s">
        <v>780</v>
      </c>
    </row>
    <row r="85" spans="1:5" x14ac:dyDescent="0.25">
      <c r="A85" s="11" t="s">
        <v>15</v>
      </c>
      <c r="E85" s="11" t="s">
        <v>16</v>
      </c>
    </row>
    <row r="86" spans="1:5" x14ac:dyDescent="0.25">
      <c r="A86" s="11" t="s">
        <v>17</v>
      </c>
      <c r="E86" s="11" t="s">
        <v>30</v>
      </c>
    </row>
    <row r="87" spans="1:5" x14ac:dyDescent="0.25">
      <c r="A87" s="11" t="s">
        <v>613</v>
      </c>
      <c r="E87" s="11" t="s">
        <v>691</v>
      </c>
    </row>
    <row r="88" spans="1:5" x14ac:dyDescent="0.25">
      <c r="A88" s="11" t="s">
        <v>614</v>
      </c>
      <c r="E88" s="11" t="s">
        <v>692</v>
      </c>
    </row>
    <row r="89" spans="1:5" x14ac:dyDescent="0.25">
      <c r="A89" s="11" t="s">
        <v>690</v>
      </c>
      <c r="E89" s="11" t="s">
        <v>693</v>
      </c>
    </row>
    <row r="90" spans="1:5" x14ac:dyDescent="0.25">
      <c r="A90" s="11" t="s">
        <v>77</v>
      </c>
      <c r="E90" s="11" t="s">
        <v>694</v>
      </c>
    </row>
    <row r="91" spans="1:5" x14ac:dyDescent="0.25">
      <c r="A91" s="11" t="s">
        <v>617</v>
      </c>
      <c r="E91" s="11" t="s">
        <v>695</v>
      </c>
    </row>
    <row r="92" spans="1:5" x14ac:dyDescent="0.25">
      <c r="A92" s="11" t="s">
        <v>618</v>
      </c>
      <c r="E92" s="11" t="s">
        <v>44</v>
      </c>
    </row>
    <row r="93" spans="1:5" x14ac:dyDescent="0.25">
      <c r="A93" s="11" t="s">
        <v>79</v>
      </c>
    </row>
  </sheetData>
  <phoneticPr fontId="5" type="noConversion"/>
  <printOptions horizontalCentered="1"/>
  <pageMargins left="0.75" right="0.75" top="1" bottom="1" header="0.5" footer="0.5"/>
  <pageSetup scale="82" fitToHeight="2" orientation="landscape" r:id="rId1"/>
  <headerFooter alignWithMargins="0">
    <oddFooter>&amp;L&amp;F</oddFooter>
  </headerFooter>
  <rowBreaks count="1" manualBreakCount="1">
    <brk id="39"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pageSetUpPr fitToPage="1"/>
  </sheetPr>
  <dimension ref="A1:L46"/>
  <sheetViews>
    <sheetView zoomScale="70" workbookViewId="0"/>
  </sheetViews>
  <sheetFormatPr defaultRowHeight="12.5" x14ac:dyDescent="0.25"/>
  <cols>
    <col min="1" max="1" width="50" customWidth="1"/>
    <col min="2" max="2" width="11.6328125" customWidth="1"/>
    <col min="3" max="3" width="3.453125" customWidth="1"/>
    <col min="4" max="4" width="11.6328125" customWidth="1"/>
    <col min="5" max="5" width="3.453125" customWidth="1"/>
    <col min="6" max="6" width="11.6328125" customWidth="1"/>
    <col min="7" max="7" width="3.453125" customWidth="1"/>
    <col min="8" max="8" width="11.6328125" customWidth="1"/>
    <col min="9" max="9" width="3.453125" customWidth="1"/>
    <col min="10" max="10" width="11.6328125" customWidth="1"/>
    <col min="11" max="11" width="12.6328125" bestFit="1" customWidth="1"/>
  </cols>
  <sheetData>
    <row r="1" spans="1:12" s="12" customFormat="1" ht="15.5" x14ac:dyDescent="0.35">
      <c r="A1" s="117" t="s">
        <v>550</v>
      </c>
      <c r="B1" s="16"/>
      <c r="C1" s="16"/>
      <c r="D1" s="16"/>
      <c r="E1" s="16"/>
      <c r="F1" s="16"/>
      <c r="G1" s="16"/>
      <c r="H1" s="16"/>
      <c r="I1" s="16"/>
      <c r="J1" s="16"/>
    </row>
    <row r="2" spans="1:12" s="12" customFormat="1" ht="15.5" x14ac:dyDescent="0.35">
      <c r="A2" s="117" t="s">
        <v>787</v>
      </c>
      <c r="B2" s="16"/>
      <c r="C2" s="16"/>
      <c r="D2" s="16"/>
      <c r="E2" s="16"/>
      <c r="F2" s="16"/>
      <c r="G2" s="16"/>
      <c r="H2" s="16"/>
      <c r="I2" s="16"/>
      <c r="J2" s="16"/>
    </row>
    <row r="3" spans="1:12" ht="25" x14ac:dyDescent="0.25">
      <c r="B3" s="125" t="s">
        <v>109</v>
      </c>
      <c r="C3" s="125"/>
      <c r="D3" s="126" t="s">
        <v>104</v>
      </c>
      <c r="E3" s="126"/>
      <c r="F3" s="125" t="s">
        <v>110</v>
      </c>
      <c r="G3" s="125"/>
      <c r="H3" s="127" t="s">
        <v>97</v>
      </c>
      <c r="I3" s="127"/>
      <c r="J3" s="128" t="s">
        <v>105</v>
      </c>
    </row>
    <row r="4" spans="1:12" ht="12.75" customHeight="1" x14ac:dyDescent="0.3">
      <c r="A4" s="14" t="s">
        <v>630</v>
      </c>
    </row>
    <row r="5" spans="1:12" ht="12.75" customHeight="1" x14ac:dyDescent="0.25">
      <c r="A5" s="258" t="s">
        <v>307</v>
      </c>
      <c r="B5" s="6">
        <f>'Table 3.15-Route UAA NoPARS'!D99</f>
        <v>41637.612962509142</v>
      </c>
      <c r="C5" s="11" t="s">
        <v>241</v>
      </c>
      <c r="D5" s="61">
        <f>F5/B5</f>
        <v>0.12217283948826312</v>
      </c>
      <c r="F5" s="81">
        <f>'Table 3.15-Route UAA NoPARS'!J99</f>
        <v>5086.985405143053</v>
      </c>
      <c r="G5" s="11" t="s">
        <v>241</v>
      </c>
      <c r="H5" s="99">
        <f>B5/$B$29</f>
        <v>0.52725738436465142</v>
      </c>
      <c r="J5" s="19">
        <f>D5*H5</f>
        <v>6.4416531788984002E-2</v>
      </c>
    </row>
    <row r="6" spans="1:12" ht="12.75" customHeight="1" x14ac:dyDescent="0.25">
      <c r="A6" s="166" t="s">
        <v>520</v>
      </c>
      <c r="B6" s="6">
        <f>SUM('Table 3.18-Nixie UAA'!D16,'Table 3.18-Nixie UAA'!D19,'Table 3.18-Nixie UAA'!D25,'Table 3.18-Nixie UAA'!D28)</f>
        <v>41637.612962509134</v>
      </c>
      <c r="C6" s="11" t="s">
        <v>242</v>
      </c>
      <c r="D6" s="61">
        <f>F6/B6</f>
        <v>0.43004227945757501</v>
      </c>
      <c r="F6" s="81">
        <f>SUM('Table 3.18-Nixie UAA'!I16,'Table 3.18-Nixie UAA'!I19,'Table 3.18-Nixie UAA'!I25,'Table 3.18-Nixie UAA'!I28)</f>
        <v>17905.933989569701</v>
      </c>
      <c r="G6" s="11" t="s">
        <v>242</v>
      </c>
      <c r="H6" s="99">
        <f>B6/$B$29</f>
        <v>0.5272573843646513</v>
      </c>
      <c r="J6" s="19">
        <f>D6*H6</f>
        <v>0.22674296743301342</v>
      </c>
    </row>
    <row r="7" spans="1:12" ht="12.75" customHeight="1" x14ac:dyDescent="0.25">
      <c r="A7" s="258" t="s">
        <v>98</v>
      </c>
      <c r="B7" s="6">
        <f>SUM('Table 3.31-Rating Post Due'!B14,'Table 3.31-Rating Post Due'!B25)</f>
        <v>3701.3213024587717</v>
      </c>
      <c r="C7" s="11" t="s">
        <v>243</v>
      </c>
      <c r="D7" s="61">
        <f>F7/B7</f>
        <v>0.27028323717508723</v>
      </c>
      <c r="F7" s="81">
        <f>SUM('Table 3.31-Rating Post Due'!H14,'Table 3.31-Rating Post Due'!H25)</f>
        <v>1000.405103453667</v>
      </c>
      <c r="G7" s="11" t="s">
        <v>243</v>
      </c>
      <c r="H7" s="99">
        <f>B7/$B$29</f>
        <v>4.6869857558471659E-2</v>
      </c>
      <c r="J7" s="19">
        <f>D7*H7</f>
        <v>1.266813682683895E-2</v>
      </c>
    </row>
    <row r="8" spans="1:12" ht="12.75" customHeight="1" x14ac:dyDescent="0.25">
      <c r="A8" s="258" t="s">
        <v>102</v>
      </c>
      <c r="B8" s="6">
        <f>B5</f>
        <v>41637.612962509142</v>
      </c>
      <c r="D8" s="61">
        <f>F8/B8</f>
        <v>0.57624159482365656</v>
      </c>
      <c r="F8" s="81">
        <f>SUM(F5:F7)</f>
        <v>23993.324498166421</v>
      </c>
      <c r="J8" s="19">
        <f>SUM(J5:J7)</f>
        <v>0.30382763604883634</v>
      </c>
    </row>
    <row r="9" spans="1:12" ht="5.15" customHeight="1" x14ac:dyDescent="0.25">
      <c r="B9" s="6"/>
      <c r="D9" s="61"/>
      <c r="F9" s="81"/>
      <c r="H9" s="6"/>
      <c r="K9" s="6"/>
    </row>
    <row r="10" spans="1:12" ht="12.75" customHeight="1" x14ac:dyDescent="0.3">
      <c r="A10" s="14" t="s">
        <v>631</v>
      </c>
      <c r="B10" s="6"/>
      <c r="D10" s="61"/>
      <c r="F10" s="81"/>
      <c r="H10" s="104"/>
    </row>
    <row r="11" spans="1:12" ht="12.75" customHeight="1" x14ac:dyDescent="0.25">
      <c r="A11" s="258" t="s">
        <v>307</v>
      </c>
      <c r="B11" s="6">
        <f>'Table 3.15-Route UAA NoPARS'!D107</f>
        <v>28578.893035309178</v>
      </c>
      <c r="C11" s="11" t="s">
        <v>241</v>
      </c>
      <c r="D11" s="61">
        <f>F11/B11</f>
        <v>7.4566558418280138E-2</v>
      </c>
      <c r="F11" s="81">
        <f>'Table 3.15-Route UAA NoPARS'!J107</f>
        <v>2131.0296970471613</v>
      </c>
      <c r="G11" s="11" t="s">
        <v>241</v>
      </c>
      <c r="H11" s="99">
        <f>B11/$B$29</f>
        <v>0.36189472252893107</v>
      </c>
      <c r="J11" s="19">
        <f>D11*H11</f>
        <v>2.6985243968720818E-2</v>
      </c>
    </row>
    <row r="12" spans="1:12" ht="12.75" customHeight="1" x14ac:dyDescent="0.25">
      <c r="A12" s="166" t="s">
        <v>96</v>
      </c>
      <c r="B12" s="6">
        <f>'Table 3.20-CFS Non-CIOSS'!B14</f>
        <v>28578.893035309178</v>
      </c>
      <c r="C12" s="11" t="s">
        <v>244</v>
      </c>
      <c r="D12" s="61">
        <f>F12/B12</f>
        <v>0.31702690272361095</v>
      </c>
      <c r="F12" s="81">
        <f>'Table 3.20-CFS Non-CIOSS'!H14</f>
        <v>9060.2779422534459</v>
      </c>
      <c r="G12" s="11" t="s">
        <v>244</v>
      </c>
      <c r="H12" s="99">
        <f>B12/$B$29</f>
        <v>0.36189472252893107</v>
      </c>
      <c r="J12" s="19">
        <f>D12*H12</f>
        <v>0.11473036299536761</v>
      </c>
      <c r="K12" s="81"/>
      <c r="L12" s="6"/>
    </row>
    <row r="13" spans="1:12" ht="12.75" customHeight="1" x14ac:dyDescent="0.25">
      <c r="A13" s="166" t="s">
        <v>310</v>
      </c>
      <c r="B13" s="6">
        <f>'Table 3.20-CFS Non-CIOSS'!B50+'Table 3.20-CFS Non-CIOSS'!B61</f>
        <v>4619.3675704909574</v>
      </c>
      <c r="C13" s="11" t="s">
        <v>244</v>
      </c>
      <c r="D13" s="61">
        <f>F13/B13</f>
        <v>0.41499339454114126</v>
      </c>
      <c r="F13" s="81">
        <f>'Table 3.20-CFS Non-CIOSS'!H50+'Table 3.20-CFS Non-CIOSS'!H61</f>
        <v>1917.0070287113072</v>
      </c>
      <c r="G13" s="11" t="s">
        <v>244</v>
      </c>
      <c r="H13" s="99">
        <f>B13/$B$29</f>
        <v>5.8495083875941385E-2</v>
      </c>
      <c r="J13" s="19">
        <f>D13*H13</f>
        <v>2.4275073421645695E-2</v>
      </c>
      <c r="K13" s="81"/>
      <c r="L13" s="6"/>
    </row>
    <row r="14" spans="1:12" ht="12.75" customHeight="1" x14ac:dyDescent="0.25">
      <c r="A14" s="258" t="s">
        <v>102</v>
      </c>
      <c r="B14" s="6">
        <f>B11</f>
        <v>28578.893035309178</v>
      </c>
      <c r="D14" s="61">
        <f>F14/B14</f>
        <v>0.45867118267375195</v>
      </c>
      <c r="F14" s="81">
        <f>SUM(F11:F13)</f>
        <v>13108.314668011913</v>
      </c>
      <c r="H14" s="104"/>
      <c r="J14" s="19">
        <f>SUM(J11:J13)</f>
        <v>0.16599068038573411</v>
      </c>
      <c r="K14" s="81"/>
      <c r="L14" s="6"/>
    </row>
    <row r="15" spans="1:12" ht="5.15" customHeight="1" x14ac:dyDescent="0.25">
      <c r="B15" s="6"/>
      <c r="D15" s="61"/>
      <c r="F15" s="81"/>
      <c r="H15" s="104"/>
      <c r="K15" s="81"/>
      <c r="L15" s="6"/>
    </row>
    <row r="16" spans="1:12" ht="12.75" customHeight="1" x14ac:dyDescent="0.3">
      <c r="A16" s="14" t="s">
        <v>632</v>
      </c>
      <c r="B16" s="6"/>
      <c r="D16" s="61"/>
      <c r="F16" s="81"/>
      <c r="H16" s="104"/>
      <c r="L16" s="6"/>
    </row>
    <row r="17" spans="1:12" ht="12.75" customHeight="1" x14ac:dyDescent="0.25">
      <c r="A17" s="258" t="s">
        <v>307</v>
      </c>
      <c r="B17" s="6">
        <f>'Table 3.15-Route UAA NoPARS'!D100</f>
        <v>8753.6785785110187</v>
      </c>
      <c r="C17" s="11" t="s">
        <v>241</v>
      </c>
      <c r="D17" s="61">
        <f>F17/B17</f>
        <v>0.10354648164551386</v>
      </c>
      <c r="F17" s="81">
        <f>'Table 3.15-Route UAA NoPARS'!J100</f>
        <v>906.41261826051903</v>
      </c>
      <c r="G17" s="11" t="s">
        <v>241</v>
      </c>
      <c r="H17" s="99">
        <f>B17/$B$29</f>
        <v>0.11084789310641756</v>
      </c>
      <c r="J17" s="19">
        <f>D17*H17</f>
        <v>1.1477909328987549E-2</v>
      </c>
      <c r="L17" s="6"/>
    </row>
    <row r="18" spans="1:12" ht="12.75" customHeight="1" x14ac:dyDescent="0.25">
      <c r="A18" s="258" t="s">
        <v>309</v>
      </c>
      <c r="B18" s="6">
        <v>0</v>
      </c>
      <c r="C18" s="11" t="s">
        <v>242</v>
      </c>
      <c r="D18" s="61">
        <v>0</v>
      </c>
      <c r="F18" s="81">
        <v>0</v>
      </c>
      <c r="G18" s="11" t="s">
        <v>242</v>
      </c>
      <c r="H18" s="99">
        <f>B18/$B$29</f>
        <v>0</v>
      </c>
      <c r="J18" s="19">
        <f>D18*H18</f>
        <v>0</v>
      </c>
    </row>
    <row r="19" spans="1:12" ht="12.75" customHeight="1" x14ac:dyDescent="0.25">
      <c r="A19" s="60" t="s">
        <v>96</v>
      </c>
      <c r="B19" s="6">
        <f>'Table 3.20-CFS Non-CIOSS'!B71</f>
        <v>8753.6785785110205</v>
      </c>
      <c r="C19" s="11" t="s">
        <v>244</v>
      </c>
      <c r="D19" s="61">
        <f>F19/B19</f>
        <v>2.5265756927347189E-2</v>
      </c>
      <c r="F19" s="81">
        <f>'Table 3.20-CFS Non-CIOSS'!H71</f>
        <v>221.16831518478551</v>
      </c>
      <c r="G19" s="11" t="s">
        <v>244</v>
      </c>
      <c r="H19" s="99">
        <f>B19/$B$29</f>
        <v>0.11084789310641757</v>
      </c>
      <c r="J19" s="19">
        <f>D19*H19</f>
        <v>2.8006559231353104E-3</v>
      </c>
    </row>
    <row r="20" spans="1:12" ht="12.75" customHeight="1" x14ac:dyDescent="0.25">
      <c r="A20" s="60" t="s">
        <v>102</v>
      </c>
      <c r="B20" s="6">
        <f>B17</f>
        <v>8753.6785785110187</v>
      </c>
      <c r="D20" s="61">
        <f>F20/B20</f>
        <v>0.12881223857286103</v>
      </c>
      <c r="F20" s="81">
        <f>SUM(F17:F19)</f>
        <v>1127.5809334453045</v>
      </c>
      <c r="J20" s="19">
        <f>SUM(J17:J19)</f>
        <v>1.4278565252122859E-2</v>
      </c>
    </row>
    <row r="21" spans="1:12" ht="5.15" customHeight="1" x14ac:dyDescent="0.25">
      <c r="A21" s="60"/>
      <c r="B21" s="6"/>
      <c r="F21" s="81"/>
      <c r="H21" s="104"/>
    </row>
    <row r="22" spans="1:12" ht="12.75" customHeight="1" x14ac:dyDescent="0.3">
      <c r="A22" s="14" t="s">
        <v>633</v>
      </c>
      <c r="B22" s="6"/>
      <c r="F22" s="81"/>
      <c r="H22" s="104"/>
    </row>
    <row r="23" spans="1:12" ht="12.75" customHeight="1" x14ac:dyDescent="0.25">
      <c r="A23" s="258" t="s">
        <v>320</v>
      </c>
      <c r="B23" s="6">
        <f>SUM(B8,B14,B20)</f>
        <v>78970.184576329339</v>
      </c>
      <c r="D23" s="61">
        <f>'Table 3.30-UAA MP Cost'!D32</f>
        <v>2.8261630912481723</v>
      </c>
      <c r="E23" s="11" t="s">
        <v>586</v>
      </c>
      <c r="F23" s="81">
        <f>B23*D23</f>
        <v>223182.62095867767</v>
      </c>
      <c r="H23" s="99">
        <f>B23/$B$29</f>
        <v>1</v>
      </c>
      <c r="J23" s="19">
        <f>D23*H23</f>
        <v>2.8261630912481723</v>
      </c>
    </row>
    <row r="24" spans="1:12" x14ac:dyDescent="0.25">
      <c r="A24" s="258" t="s">
        <v>99</v>
      </c>
      <c r="B24" s="6">
        <f>'Table 3.35-PD Vols'!D14</f>
        <v>8320.6888729497296</v>
      </c>
      <c r="C24" s="11" t="s">
        <v>582</v>
      </c>
      <c r="D24" s="61">
        <f>'Table 3.32-Accounting Post Due'!I13</f>
        <v>3.2507701047636788</v>
      </c>
      <c r="E24" s="11" t="s">
        <v>587</v>
      </c>
      <c r="F24" s="81">
        <f>B24*D24</f>
        <v>27048.646639224768</v>
      </c>
      <c r="H24" s="99">
        <f>B24/$B$29</f>
        <v>0.10536494143441305</v>
      </c>
      <c r="J24" s="19">
        <f>D24*H24</f>
        <v>0.34251720170516581</v>
      </c>
    </row>
    <row r="25" spans="1:12" x14ac:dyDescent="0.25">
      <c r="A25" s="258" t="s">
        <v>100</v>
      </c>
      <c r="B25" s="6">
        <f>'Table 3.35-PD Vols'!D15</f>
        <v>5739.2978848355406</v>
      </c>
      <c r="C25" s="11" t="s">
        <v>582</v>
      </c>
      <c r="D25" s="61">
        <f>'Table 3.33-Delivery Post Due'!I20</f>
        <v>0.89988403767786562</v>
      </c>
      <c r="E25" s="11" t="s">
        <v>590</v>
      </c>
      <c r="F25" s="81">
        <f>B25*D25</f>
        <v>5164.7025540418399</v>
      </c>
      <c r="H25" s="99">
        <f>B25/$B$29</f>
        <v>7.2676769284845358E-2</v>
      </c>
      <c r="J25" s="19">
        <f>D25*H25</f>
        <v>6.5400664589429322E-2</v>
      </c>
    </row>
    <row r="26" spans="1:12" x14ac:dyDescent="0.25">
      <c r="A26" s="258" t="s">
        <v>210</v>
      </c>
      <c r="B26" s="6">
        <f>'Table 3.35-PD Vols'!D16</f>
        <v>1148.6979401295998</v>
      </c>
      <c r="C26" s="11" t="s">
        <v>582</v>
      </c>
      <c r="D26" s="61">
        <f>'Table 3.34-Window Post Due'!I13</f>
        <v>0.49923740110555215</v>
      </c>
      <c r="E26" s="11" t="s">
        <v>591</v>
      </c>
      <c r="F26" s="81">
        <f>B26*D26</f>
        <v>573.4729742856025</v>
      </c>
      <c r="H26" s="99">
        <f>B26/$B$29</f>
        <v>1.4545970055563382E-2</v>
      </c>
      <c r="J26" s="19">
        <f>D26*H26</f>
        <v>7.2618922870986468E-3</v>
      </c>
    </row>
    <row r="27" spans="1:12" x14ac:dyDescent="0.25">
      <c r="A27" s="60" t="s">
        <v>102</v>
      </c>
      <c r="B27" s="6">
        <f>B23</f>
        <v>78970.184576329339</v>
      </c>
      <c r="D27" s="61">
        <f>F27/B27</f>
        <v>3.2413428498298664</v>
      </c>
      <c r="F27" s="108">
        <f>SUM(F23:F26)</f>
        <v>255969.44312622989</v>
      </c>
      <c r="H27" s="104"/>
      <c r="J27" s="19">
        <f>SUM(J23:J26)</f>
        <v>3.241342849829866</v>
      </c>
    </row>
    <row r="28" spans="1:12" ht="5.15" customHeight="1" x14ac:dyDescent="0.3">
      <c r="A28" s="14"/>
      <c r="B28" s="6"/>
      <c r="D28" s="61"/>
      <c r="F28" s="108"/>
      <c r="H28" s="104"/>
    </row>
    <row r="29" spans="1:12" ht="13" x14ac:dyDescent="0.3">
      <c r="A29" s="14" t="s">
        <v>494</v>
      </c>
      <c r="B29" s="260">
        <f>SUM(B8,B14,B20)</f>
        <v>78970.184576329339</v>
      </c>
      <c r="D29" s="61"/>
      <c r="F29" s="368">
        <f>SUM(F8,F14,F20,F27)</f>
        <v>294198.66322585352</v>
      </c>
      <c r="H29" s="104"/>
      <c r="J29" s="311">
        <f>SUM(J8,J14,J20,J27)</f>
        <v>3.725439731516559</v>
      </c>
    </row>
    <row r="30" spans="1:12" ht="13" hidden="1" x14ac:dyDescent="0.3">
      <c r="A30" s="14"/>
      <c r="B30" s="6"/>
      <c r="D30" s="61"/>
      <c r="F30" s="108"/>
      <c r="H30" s="104"/>
    </row>
    <row r="31" spans="1:12" ht="13" hidden="1" x14ac:dyDescent="0.3">
      <c r="A31" s="5"/>
      <c r="B31" s="167"/>
      <c r="F31" s="262"/>
      <c r="H31" s="6"/>
      <c r="J31" s="6"/>
    </row>
    <row r="32" spans="1:12" hidden="1" x14ac:dyDescent="0.25">
      <c r="A32" s="20" t="s">
        <v>191</v>
      </c>
      <c r="B32" s="167"/>
      <c r="D32" s="19"/>
      <c r="G32" s="365" t="s">
        <v>311</v>
      </c>
      <c r="H32" s="6">
        <f>SUM('Table 3.15-Route UAA NoPARS'!J99:J100,'Table 3.15-Route UAA NoPARS'!J107)</f>
        <v>8124.4277204507325</v>
      </c>
      <c r="J32" s="6">
        <f>SUM(F5,F11,F17)</f>
        <v>8124.4277204507334</v>
      </c>
      <c r="K32" s="105">
        <f t="shared" ref="K32:K37" si="0">H32-J32</f>
        <v>0</v>
      </c>
    </row>
    <row r="33" spans="1:11" ht="13" hidden="1" x14ac:dyDescent="0.3">
      <c r="A33" s="5"/>
      <c r="B33" s="167"/>
      <c r="G33" s="36" t="s">
        <v>312</v>
      </c>
      <c r="H33" s="6">
        <f>SUM('Table 3.18-Nixie UAA'!I16:I16,'Table 3.18-Nixie UAA'!I19,'Table 3.18-Nixie UAA'!I25:I25,'Table 3.18-Nixie UAA'!I28)+SUM('Table 3.31-Rating Post Due'!H13,'Table 3.31-Rating Post Due'!H25)</f>
        <v>18906.339093023369</v>
      </c>
      <c r="J33" s="6">
        <f>SUM(F6:F7,F18)</f>
        <v>18906.339093023369</v>
      </c>
      <c r="K33" s="105">
        <f t="shared" si="0"/>
        <v>0</v>
      </c>
    </row>
    <row r="34" spans="1:11" ht="13" hidden="1" x14ac:dyDescent="0.3">
      <c r="A34" s="5"/>
      <c r="B34" s="167"/>
      <c r="G34" s="36" t="s">
        <v>313</v>
      </c>
      <c r="H34" s="6">
        <f>SUM('Table 3.20-CFS Non-CIOSS'!H14,'Table 3.20-CFS Non-CIOSS'!H50,'Table 3.20-CFS Non-CIOSS'!H61,'Table 3.20-CFS Non-CIOSS'!H71)</f>
        <v>11198.453286149537</v>
      </c>
      <c r="J34" s="6">
        <f>SUM(F12:F13,F19)</f>
        <v>11198.453286149537</v>
      </c>
      <c r="K34" s="105">
        <f t="shared" si="0"/>
        <v>0</v>
      </c>
    </row>
    <row r="35" spans="1:11" ht="13" hidden="1" x14ac:dyDescent="0.3">
      <c r="A35" s="5"/>
      <c r="B35" s="167"/>
      <c r="G35" s="36" t="s">
        <v>518</v>
      </c>
      <c r="H35" s="6">
        <f>'Table 3.30-UAA MP Cost'!F32</f>
        <v>223182.62095867761</v>
      </c>
      <c r="J35" s="6">
        <f>F23</f>
        <v>223182.62095867767</v>
      </c>
      <c r="K35" s="105">
        <f t="shared" si="0"/>
        <v>0</v>
      </c>
    </row>
    <row r="36" spans="1:11" ht="13" hidden="1" x14ac:dyDescent="0.3">
      <c r="A36" s="5"/>
      <c r="B36" s="167"/>
      <c r="G36" s="36" t="s">
        <v>315</v>
      </c>
      <c r="H36" s="6">
        <f>SUM(F24:F26)</f>
        <v>32786.822167552207</v>
      </c>
      <c r="J36" s="6">
        <f>SUM(F24:F26)</f>
        <v>32786.822167552207</v>
      </c>
      <c r="K36" s="105">
        <f t="shared" si="0"/>
        <v>0</v>
      </c>
    </row>
    <row r="37" spans="1:11" ht="13" hidden="1" x14ac:dyDescent="0.3">
      <c r="A37" s="5"/>
      <c r="B37" s="167"/>
      <c r="G37" s="36" t="s">
        <v>314</v>
      </c>
      <c r="H37" s="6">
        <f>SUM(H32:H36)</f>
        <v>294198.66322585347</v>
      </c>
      <c r="J37" s="6">
        <f>SUM(J32:J36)</f>
        <v>294198.66322585352</v>
      </c>
      <c r="K37" s="105">
        <f t="shared" si="0"/>
        <v>0</v>
      </c>
    </row>
    <row r="38" spans="1:11" x14ac:dyDescent="0.25">
      <c r="A38" s="204"/>
      <c r="B38" s="204"/>
      <c r="C38" s="204"/>
      <c r="D38" s="204"/>
      <c r="E38" s="204"/>
      <c r="F38" s="204"/>
      <c r="H38" s="167"/>
    </row>
    <row r="39" spans="1:11" x14ac:dyDescent="0.25">
      <c r="A39" s="12" t="s">
        <v>235</v>
      </c>
    </row>
    <row r="40" spans="1:11" x14ac:dyDescent="0.25">
      <c r="A40" s="11" t="s">
        <v>634</v>
      </c>
      <c r="D40" s="11"/>
      <c r="E40" s="11" t="s">
        <v>639</v>
      </c>
    </row>
    <row r="41" spans="1:11" x14ac:dyDescent="0.25">
      <c r="A41" s="11" t="s">
        <v>635</v>
      </c>
      <c r="D41" s="11"/>
      <c r="E41" s="11" t="s">
        <v>602</v>
      </c>
    </row>
    <row r="42" spans="1:11" x14ac:dyDescent="0.25">
      <c r="A42" s="11" t="s">
        <v>35</v>
      </c>
      <c r="D42" s="11"/>
      <c r="E42" s="11" t="s">
        <v>686</v>
      </c>
    </row>
    <row r="43" spans="1:11" x14ac:dyDescent="0.25">
      <c r="A43" s="11" t="s">
        <v>636</v>
      </c>
      <c r="E43" s="11" t="s">
        <v>687</v>
      </c>
    </row>
    <row r="44" spans="1:11" x14ac:dyDescent="0.25">
      <c r="A44" s="11" t="s">
        <v>637</v>
      </c>
      <c r="E44" s="11" t="s">
        <v>688</v>
      </c>
    </row>
    <row r="45" spans="1:11" x14ac:dyDescent="0.25">
      <c r="A45" s="11" t="s">
        <v>45</v>
      </c>
      <c r="E45" s="11" t="s">
        <v>689</v>
      </c>
    </row>
    <row r="46" spans="1:11" x14ac:dyDescent="0.25">
      <c r="A46" s="11" t="s">
        <v>696</v>
      </c>
    </row>
  </sheetData>
  <phoneticPr fontId="5" type="noConversion"/>
  <printOptions horizontalCentered="1"/>
  <pageMargins left="0.75" right="0.75" top="1" bottom="1" header="0.5" footer="0.5"/>
  <pageSetup orientation="landscape" r:id="rId1"/>
  <headerFooter alignWithMargins="0">
    <oddFooter>&amp;L&amp;F</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pageSetUpPr fitToPage="1"/>
  </sheetPr>
  <dimension ref="A1:K30"/>
  <sheetViews>
    <sheetView zoomScale="70" workbookViewId="0"/>
  </sheetViews>
  <sheetFormatPr defaultRowHeight="12.5" x14ac:dyDescent="0.25"/>
  <cols>
    <col min="1" max="1" width="50" customWidth="1"/>
    <col min="2" max="2" width="11.6328125" customWidth="1"/>
    <col min="3" max="3" width="3.453125" customWidth="1"/>
    <col min="4" max="4" width="11.6328125" customWidth="1"/>
    <col min="5" max="5" width="3.453125" customWidth="1"/>
    <col min="6" max="6" width="11.6328125" customWidth="1"/>
    <col min="7" max="7" width="3.453125" customWidth="1"/>
    <col min="8" max="8" width="11.6328125" customWidth="1"/>
    <col min="9" max="9" width="3.453125" customWidth="1"/>
    <col min="10" max="10" width="11.6328125" customWidth="1"/>
  </cols>
  <sheetData>
    <row r="1" spans="1:11" s="12" customFormat="1" ht="15.5" x14ac:dyDescent="0.35">
      <c r="A1" s="117" t="s">
        <v>551</v>
      </c>
      <c r="B1" s="16"/>
      <c r="C1" s="16"/>
      <c r="D1" s="16"/>
      <c r="E1" s="16"/>
      <c r="F1" s="16"/>
      <c r="G1" s="16"/>
      <c r="H1" s="16"/>
      <c r="I1" s="16"/>
      <c r="J1" s="16"/>
    </row>
    <row r="2" spans="1:11" s="12" customFormat="1" ht="15.5" x14ac:dyDescent="0.35">
      <c r="A2" s="117" t="s">
        <v>787</v>
      </c>
      <c r="B2" s="16"/>
      <c r="C2" s="16"/>
      <c r="D2" s="16"/>
      <c r="E2" s="16"/>
      <c r="F2" s="16"/>
      <c r="G2" s="16"/>
      <c r="H2" s="16"/>
      <c r="I2" s="16"/>
      <c r="J2" s="16"/>
    </row>
    <row r="3" spans="1:11" ht="25" x14ac:dyDescent="0.25">
      <c r="B3" s="125" t="s">
        <v>109</v>
      </c>
      <c r="C3" s="125"/>
      <c r="D3" s="126" t="s">
        <v>104</v>
      </c>
      <c r="E3" s="126"/>
      <c r="F3" s="125" t="s">
        <v>110</v>
      </c>
      <c r="G3" s="125"/>
      <c r="H3" s="127" t="s">
        <v>97</v>
      </c>
      <c r="I3" s="127"/>
      <c r="J3" s="128" t="s">
        <v>105</v>
      </c>
    </row>
    <row r="4" spans="1:11" ht="13" x14ac:dyDescent="0.3">
      <c r="A4" s="14"/>
      <c r="F4" s="81"/>
      <c r="H4" s="104"/>
    </row>
    <row r="5" spans="1:11" ht="13" x14ac:dyDescent="0.3">
      <c r="A5" s="14" t="s">
        <v>574</v>
      </c>
      <c r="B5" s="167"/>
      <c r="G5" s="36"/>
      <c r="H5" s="6"/>
      <c r="J5" s="6"/>
      <c r="K5" s="167"/>
    </row>
    <row r="6" spans="1:11" x14ac:dyDescent="0.25">
      <c r="A6" s="258" t="s">
        <v>491</v>
      </c>
      <c r="B6" s="6">
        <f>'Table 3.9-PARS Wst Summary'!B10</f>
        <v>465761.33252651728</v>
      </c>
      <c r="D6" s="88">
        <f t="shared" ref="D6:D11" si="0">F6/B6</f>
        <v>0.12686056172134139</v>
      </c>
      <c r="F6" s="108">
        <f>'Table 3.9-PARS Wst Summary'!F10</f>
        <v>59086.744272394455</v>
      </c>
      <c r="H6" s="99">
        <f t="shared" ref="H6:H11" si="1">B6/$B$19</f>
        <v>0.1818594509974156</v>
      </c>
      <c r="J6" s="88">
        <f>D6*H6</f>
        <v>2.3070792107866903E-2</v>
      </c>
    </row>
    <row r="7" spans="1:11" x14ac:dyDescent="0.25">
      <c r="A7" s="258" t="s">
        <v>492</v>
      </c>
      <c r="B7" s="6">
        <f>'Table 3.9-PARS Wst Summary'!B18</f>
        <v>111870.82633412878</v>
      </c>
      <c r="D7" s="88">
        <f t="shared" si="0"/>
        <v>0.10494457593900569</v>
      </c>
      <c r="F7" s="108">
        <f>'Table 3.9-PARS Wst Summary'!F18</f>
        <v>11740.236429581295</v>
      </c>
      <c r="H7" s="99">
        <f t="shared" si="1"/>
        <v>4.3680669989051943E-2</v>
      </c>
      <c r="J7" s="88">
        <f>D7*H7</f>
        <v>4.5840493887327081E-3</v>
      </c>
    </row>
    <row r="8" spans="1:11" x14ac:dyDescent="0.25">
      <c r="A8" s="258" t="s">
        <v>493</v>
      </c>
      <c r="B8" s="6">
        <f>'Table 3.9-PARS Wst Summary'!B28</f>
        <v>5887.9382281120461</v>
      </c>
      <c r="D8" s="88">
        <f t="shared" si="0"/>
        <v>0.17307021595983002</v>
      </c>
      <c r="F8" s="108">
        <f>'Table 3.9-PARS Wst Summary'!F28</f>
        <v>1019.0267406974907</v>
      </c>
      <c r="H8" s="99">
        <f t="shared" si="1"/>
        <v>2.2989826310027359E-3</v>
      </c>
      <c r="J8" s="88">
        <f>D8*H8</f>
        <v>3.9788542043554174E-4</v>
      </c>
    </row>
    <row r="9" spans="1:11" x14ac:dyDescent="0.25">
      <c r="A9" s="258" t="s">
        <v>501</v>
      </c>
      <c r="B9" s="6">
        <f>'Table 3.9-PARS Wst Summary'!B36</f>
        <v>20400.87122054397</v>
      </c>
      <c r="D9" s="88">
        <f t="shared" si="0"/>
        <v>9.730075801940391E-2</v>
      </c>
      <c r="F9" s="108">
        <f>'Table 3.9-PARS Wst Summary'!F36</f>
        <v>1985.02023401517</v>
      </c>
      <c r="H9" s="99">
        <f t="shared" si="1"/>
        <v>7.9656488869777001E-3</v>
      </c>
      <c r="J9" s="88">
        <f>D9*H9</f>
        <v>7.7506367481935132E-4</v>
      </c>
    </row>
    <row r="10" spans="1:11" x14ac:dyDescent="0.25">
      <c r="A10" s="258" t="s">
        <v>500</v>
      </c>
      <c r="B10" s="6">
        <f>'Table 3.9-PARS Wst Summary'!B46</f>
        <v>275777.22569069773</v>
      </c>
      <c r="D10" s="88">
        <f t="shared" si="0"/>
        <v>0.14824104464037152</v>
      </c>
      <c r="F10" s="108">
        <f>'Table 3.9-PARS Wst Summary'!F46</f>
        <v>40881.504024412534</v>
      </c>
      <c r="H10" s="99">
        <f t="shared" si="1"/>
        <v>0.10767895778219271</v>
      </c>
      <c r="J10" s="88">
        <f>D10*H10</f>
        <v>1.596244118741871E-2</v>
      </c>
    </row>
    <row r="11" spans="1:11" x14ac:dyDescent="0.25">
      <c r="A11" s="258" t="s">
        <v>102</v>
      </c>
      <c r="B11" s="6">
        <f>SUM(B6:B10)</f>
        <v>879698.1939999999</v>
      </c>
      <c r="D11" s="88">
        <f t="shared" si="0"/>
        <v>0.13039987177818507</v>
      </c>
      <c r="F11" s="108">
        <f>SUM(F6:F10)</f>
        <v>114712.53170110096</v>
      </c>
      <c r="H11" s="99">
        <f t="shared" si="1"/>
        <v>0.34348371028664071</v>
      </c>
      <c r="J11" s="88">
        <f>SUM(J6:J10)</f>
        <v>4.4790231779273215E-2</v>
      </c>
    </row>
    <row r="12" spans="1:11" x14ac:dyDescent="0.25">
      <c r="A12" s="11"/>
      <c r="D12" s="11"/>
      <c r="F12" s="108"/>
      <c r="H12" s="99"/>
    </row>
    <row r="13" spans="1:11" ht="13" x14ac:dyDescent="0.3">
      <c r="A13" s="14" t="s">
        <v>479</v>
      </c>
      <c r="D13" s="11"/>
      <c r="F13" s="108"/>
      <c r="H13" s="99"/>
    </row>
    <row r="14" spans="1:11" x14ac:dyDescent="0.25">
      <c r="A14" s="258" t="s">
        <v>496</v>
      </c>
      <c r="B14" s="6">
        <f>'Table 3.10-NonPARS Wst Summary'!B7</f>
        <v>1611724.6686190974</v>
      </c>
      <c r="D14" s="88">
        <f>F14/B14</f>
        <v>5.6781595443397649E-2</v>
      </c>
      <c r="F14" s="108">
        <f>'Table 3.10-NonPARS Wst Summary'!F7</f>
        <v>91516.298099673731</v>
      </c>
      <c r="H14" s="99">
        <f>B14/$B$19</f>
        <v>0.62930806600905009</v>
      </c>
      <c r="J14" s="88">
        <f>D14*H14</f>
        <v>3.5733116013392865E-2</v>
      </c>
    </row>
    <row r="15" spans="1:11" x14ac:dyDescent="0.25">
      <c r="A15" s="258" t="s">
        <v>497</v>
      </c>
      <c r="B15" s="6">
        <f>'Table 3.10-NonPARS Wst Summary'!B12</f>
        <v>40144.908376171777</v>
      </c>
      <c r="D15" s="88">
        <f>F15/B15</f>
        <v>0.41499350864617229</v>
      </c>
      <c r="F15" s="108">
        <f>'Table 3.10-NonPARS Wst Summary'!F12</f>
        <v>16659.876381306636</v>
      </c>
      <c r="H15" s="99">
        <f>B15/$B$19</f>
        <v>1.5674832769026606E-2</v>
      </c>
      <c r="J15" s="88">
        <f>D15*H15</f>
        <v>6.5049538482603473E-3</v>
      </c>
    </row>
    <row r="16" spans="1:11" x14ac:dyDescent="0.25">
      <c r="A16" s="258" t="s">
        <v>498</v>
      </c>
      <c r="B16" s="6">
        <f>'Table 3.10-NonPARS Wst Summary'!B18</f>
        <v>29538.236814774398</v>
      </c>
      <c r="D16" s="88">
        <f>F16/B16</f>
        <v>0.16684974946925776</v>
      </c>
      <c r="F16" s="108">
        <f>'Table 3.10-NonPARS Wst Summary'!F18</f>
        <v>4928.4474123087148</v>
      </c>
      <c r="H16" s="99">
        <f>B16/$B$19</f>
        <v>1.1533390935282693E-2</v>
      </c>
      <c r="J16" s="88">
        <f>D16*H16</f>
        <v>1.9243433880829258E-3</v>
      </c>
    </row>
    <row r="17" spans="1:11" x14ac:dyDescent="0.25">
      <c r="A17" s="258" t="s">
        <v>102</v>
      </c>
      <c r="B17" s="6">
        <f>SUM(B14:B16)</f>
        <v>1681407.8138100435</v>
      </c>
      <c r="D17" s="88">
        <f>F17/B17</f>
        <v>6.7267810321991903E-2</v>
      </c>
      <c r="F17" s="108">
        <f>SUM(F14:F16)</f>
        <v>113104.62189328908</v>
      </c>
      <c r="H17" s="99">
        <f>B17/$B$19</f>
        <v>0.6565162897133594</v>
      </c>
      <c r="J17" s="88">
        <f>SUM(J14:J16)</f>
        <v>4.4162413249736139E-2</v>
      </c>
    </row>
    <row r="18" spans="1:11" x14ac:dyDescent="0.25">
      <c r="F18" s="108"/>
    </row>
    <row r="19" spans="1:11" ht="13" x14ac:dyDescent="0.3">
      <c r="A19" s="16" t="s">
        <v>269</v>
      </c>
      <c r="B19" s="260">
        <f>SUM(B11,B17)</f>
        <v>2561106.0078100432</v>
      </c>
      <c r="C19" s="5"/>
      <c r="D19" s="5"/>
      <c r="E19" s="5"/>
      <c r="F19" s="368">
        <f>SUM(F11,F17)</f>
        <v>227817.15359439002</v>
      </c>
      <c r="G19" s="5"/>
      <c r="H19" s="369"/>
      <c r="I19" s="5"/>
      <c r="J19" s="259">
        <f>SUM(J11,J17)</f>
        <v>8.8952645029009347E-2</v>
      </c>
    </row>
    <row r="21" spans="1:11" hidden="1" x14ac:dyDescent="0.25">
      <c r="A21" s="13" t="s">
        <v>191</v>
      </c>
      <c r="B21" s="105">
        <v>0</v>
      </c>
      <c r="G21" s="365" t="s">
        <v>311</v>
      </c>
      <c r="H21" s="6">
        <f>SUM('Table 3.14-Route UAA'!J101,'Table 3.14-Route UAA'!J108,'Table 3.14-Route UAA'!J111)</f>
        <v>85743.539062593103</v>
      </c>
      <c r="J21" s="6">
        <f>'Table 3.9-PARS Wst Summary'!J50+'Table 3.10-NonPARS Wst Summary'!J22</f>
        <v>85743.539062593103</v>
      </c>
      <c r="K21" s="105">
        <f t="shared" ref="K21:K26" si="2">H21-J21</f>
        <v>0</v>
      </c>
    </row>
    <row r="22" spans="1:11" hidden="1" x14ac:dyDescent="0.25">
      <c r="B22" s="105">
        <v>0</v>
      </c>
      <c r="G22" s="36" t="s">
        <v>312</v>
      </c>
      <c r="H22" s="6">
        <f>SUM('Table 3.18-Nixie UAA'!I8,'Table 3.18-Nixie UAA'!I11,'Table 3.18-Nixie UAA'!I20,'Table 3.18-Nixie UAA'!I29,'Table 3.18-Nixie UAA'!I35,'Table 3.18-Nixie UAA'!I37)</f>
        <v>37813.109607461789</v>
      </c>
      <c r="J22" s="6">
        <f>'Table 3.9-PARS Wst Summary'!J51+'Table 3.10-NonPARS Wst Summary'!J23</f>
        <v>37813.109607461789</v>
      </c>
      <c r="K22" s="105">
        <f t="shared" si="2"/>
        <v>0</v>
      </c>
    </row>
    <row r="23" spans="1:11" hidden="1" x14ac:dyDescent="0.25">
      <c r="B23" s="105">
        <v>0</v>
      </c>
      <c r="G23" s="36" t="s">
        <v>313</v>
      </c>
      <c r="H23" s="6">
        <f>SUM('Table 3.20-CFS Non-CIOSS'!H19,'Table 3.20-CFS Non-CIOSS'!H76,'Table 3.21-CFS CIOSS Rejs'!H19,'Table 3.21-CFS CIOSS Rejs'!H76)</f>
        <v>14113.052317402327</v>
      </c>
      <c r="J23" s="6">
        <f>'Table 3.9-PARS Wst Summary'!J52+'Table 3.10-NonPARS Wst Summary'!J24</f>
        <v>14113.052317402326</v>
      </c>
      <c r="K23" s="105">
        <f t="shared" si="2"/>
        <v>0</v>
      </c>
    </row>
    <row r="24" spans="1:11" hidden="1" x14ac:dyDescent="0.25">
      <c r="B24" s="167"/>
      <c r="G24" s="365" t="s">
        <v>502</v>
      </c>
      <c r="H24" s="6">
        <f>SUM('Table 3.23-CIOSS Summary'!I6,'Table 3.23-CIOSS Summary'!I10,'Table 3.23-CIOSS Summary'!I13)</f>
        <v>48848.390938035438</v>
      </c>
      <c r="J24" s="6">
        <f>'Table 3.9-PARS Wst Summary'!J53</f>
        <v>48848.390938035438</v>
      </c>
      <c r="K24" s="105">
        <f t="shared" si="2"/>
        <v>0</v>
      </c>
    </row>
    <row r="25" spans="1:11" hidden="1" x14ac:dyDescent="0.25">
      <c r="B25" s="167"/>
      <c r="G25" s="365" t="s">
        <v>503</v>
      </c>
      <c r="H25" s="6">
        <f>SUM('Table 3.25-REC Summary'!K6,'Table 3.25-REC Summary'!K10,'Table 3.25-REC Summary'!K13)</f>
        <v>41299.061668897382</v>
      </c>
      <c r="J25" s="6">
        <f>'Table 3.9-PARS Wst Summary'!J54</f>
        <v>41299.061668897382</v>
      </c>
      <c r="K25" s="105">
        <f t="shared" si="2"/>
        <v>0</v>
      </c>
    </row>
    <row r="26" spans="1:11" hidden="1" x14ac:dyDescent="0.25">
      <c r="B26" s="167"/>
      <c r="G26" s="36" t="s">
        <v>314</v>
      </c>
      <c r="H26" s="6">
        <f>SUM(H21:H25)</f>
        <v>227817.15359439002</v>
      </c>
      <c r="J26" s="6">
        <f>SUM(J21:J25)</f>
        <v>227817.15359439002</v>
      </c>
      <c r="K26" s="105">
        <f t="shared" si="2"/>
        <v>0</v>
      </c>
    </row>
    <row r="27" spans="1:11" x14ac:dyDescent="0.25">
      <c r="A27" s="204"/>
      <c r="B27" s="204"/>
      <c r="C27" s="204"/>
      <c r="D27" s="204"/>
      <c r="E27" s="204"/>
      <c r="F27" s="204"/>
    </row>
    <row r="28" spans="1:11" x14ac:dyDescent="0.25">
      <c r="A28" s="12" t="s">
        <v>235</v>
      </c>
    </row>
    <row r="29" spans="1:11" x14ac:dyDescent="0.25">
      <c r="A29" s="11" t="s">
        <v>640</v>
      </c>
      <c r="D29" s="11"/>
    </row>
    <row r="30" spans="1:11" x14ac:dyDescent="0.25">
      <c r="A30" s="11" t="s">
        <v>641</v>
      </c>
    </row>
  </sheetData>
  <phoneticPr fontId="5" type="noConversion"/>
  <printOptions horizontalCentered="1"/>
  <pageMargins left="0.75" right="0.75" top="1" bottom="1" header="0.5" footer="0.5"/>
  <pageSetup orientation="landscape" r:id="rId1"/>
  <headerFooter alignWithMargins="0">
    <oddFooter>&amp;L&amp;F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23</vt:i4>
      </vt:variant>
    </vt:vector>
  </HeadingPairs>
  <TitlesOfParts>
    <vt:vector size="69" baseType="lpstr">
      <vt:lpstr>Cover</vt:lpstr>
      <vt:lpstr>Table 3.1-UAA Summary</vt:lpstr>
      <vt:lpstr>Table 3.2-Total Fwd Summary</vt:lpstr>
      <vt:lpstr>Table 3.3-PARS Fwd Summary</vt:lpstr>
      <vt:lpstr>Table 3.4-NonPARS Fwd Summary</vt:lpstr>
      <vt:lpstr>Table 3.5-Total RTS Summary</vt:lpstr>
      <vt:lpstr>Table 3.6-PARS RTS Summary</vt:lpstr>
      <vt:lpstr>Table 3.7-NonPARS RTS Summary</vt:lpstr>
      <vt:lpstr>Table 3.8-Total Wst Summary</vt:lpstr>
      <vt:lpstr>Table 3.9-PARS Wst Summary</vt:lpstr>
      <vt:lpstr>Table 3.10-NonPARS Wst Summary</vt:lpstr>
      <vt:lpstr>Table 3.11-Form3547 Costs</vt:lpstr>
      <vt:lpstr>Table 3.12-Form3579 Costs</vt:lpstr>
      <vt:lpstr>Table 3.13-COA Costs</vt:lpstr>
      <vt:lpstr>Table 3.14-Route UAA</vt:lpstr>
      <vt:lpstr>Table 3.15-Route UAA NoPARS</vt:lpstr>
      <vt:lpstr>Table 3.16-Route UAA PARS</vt:lpstr>
      <vt:lpstr>Table 3.17-No Record Mail</vt:lpstr>
      <vt:lpstr>Table 3.18-Nixie UAA</vt:lpstr>
      <vt:lpstr>Table 3.19-CFS UAA</vt:lpstr>
      <vt:lpstr>Table 3.20-CFS Non-CIOSS</vt:lpstr>
      <vt:lpstr>Table 3.21-CFS CIOSS Rejs</vt:lpstr>
      <vt:lpstr>Table 3.22-CFS Key Rates</vt:lpstr>
      <vt:lpstr>Table 3.23-CIOSS Summary</vt:lpstr>
      <vt:lpstr>Table 3.24-CIOSS Detail</vt:lpstr>
      <vt:lpstr>Table 3.25-REC Summary</vt:lpstr>
      <vt:lpstr>Table 3.26-REC Detail NonACS</vt:lpstr>
      <vt:lpstr>Table 3.27-REC Detail ACS</vt:lpstr>
      <vt:lpstr>Table 3.28-REC Volume</vt:lpstr>
      <vt:lpstr>Table 3.29-UAA MP Units</vt:lpstr>
      <vt:lpstr>Table 3.30-UAA MP Cost</vt:lpstr>
      <vt:lpstr>Table 3.31-Rating Post Due</vt:lpstr>
      <vt:lpstr>Table 3.32-Accounting Post Due</vt:lpstr>
      <vt:lpstr>Table 3.33-Delivery Post Due</vt:lpstr>
      <vt:lpstr>Table 3.34-Window Post Due</vt:lpstr>
      <vt:lpstr>Table 3.35-PD Vols</vt:lpstr>
      <vt:lpstr>Table 3.36-Process Form 3546</vt:lpstr>
      <vt:lpstr>Table 3.37-Notice Inputs</vt:lpstr>
      <vt:lpstr>Table 3.38-Form 3547 Dist</vt:lpstr>
      <vt:lpstr>Table 3.39-Form 3579 Dist</vt:lpstr>
      <vt:lpstr>Table 3.40-Form Processing</vt:lpstr>
      <vt:lpstr>Table 3.41-Man Notice</vt:lpstr>
      <vt:lpstr>Table 3.42-Vol Flows</vt:lpstr>
      <vt:lpstr>Table 3.43-Elec Notice</vt:lpstr>
      <vt:lpstr>Table 3.44-One Code ACS</vt:lpstr>
      <vt:lpstr>checksum</vt:lpstr>
      <vt:lpstr>'Table 3.11-Form3547 Costs'!Print_Area</vt:lpstr>
      <vt:lpstr>'Table 3.13-COA Costs'!Print_Area</vt:lpstr>
      <vt:lpstr>'Table 3.14-Route UAA'!Print_Area</vt:lpstr>
      <vt:lpstr>'Table 3.15-Route UAA NoPARS'!Print_Area</vt:lpstr>
      <vt:lpstr>'Table 3.16-Route UAA PARS'!Print_Area</vt:lpstr>
      <vt:lpstr>'Table 3.17-No Record Mail'!Print_Area</vt:lpstr>
      <vt:lpstr>'Table 3.18-Nixie UAA'!Print_Area</vt:lpstr>
      <vt:lpstr>'Table 3.19-CFS UAA'!Print_Area</vt:lpstr>
      <vt:lpstr>'Table 3.1-UAA Summary'!Print_Area</vt:lpstr>
      <vt:lpstr>'Table 3.21-CFS CIOSS Rejs'!Print_Area</vt:lpstr>
      <vt:lpstr>'Table 3.22-CFS Key Rates'!Print_Area</vt:lpstr>
      <vt:lpstr>'Table 3.26-REC Detail NonACS'!Print_Area</vt:lpstr>
      <vt:lpstr>'Table 3.27-REC Detail ACS'!Print_Area</vt:lpstr>
      <vt:lpstr>'Table 3.29-UAA MP Units'!Print_Area</vt:lpstr>
      <vt:lpstr>'Table 3.31-Rating Post Due'!Print_Area</vt:lpstr>
      <vt:lpstr>'Table 3.32-Accounting Post Due'!Print_Area</vt:lpstr>
      <vt:lpstr>'Table 3.33-Delivery Post Due'!Print_Area</vt:lpstr>
      <vt:lpstr>'Table 3.34-Window Post Due'!Print_Area</vt:lpstr>
      <vt:lpstr>'Table 3.36-Process Form 3546'!Print_Area</vt:lpstr>
      <vt:lpstr>'Table 3.40-Form Processing'!Print_Area</vt:lpstr>
      <vt:lpstr>'Table 3.41-Man Notice'!Print_Area</vt:lpstr>
      <vt:lpstr>'Table 3.43-Elec Notice'!Print_Area</vt:lpstr>
      <vt:lpstr>'Table 3.44-One Code ACS'!Print_Area</vt:lpstr>
    </vt:vector>
  </TitlesOfParts>
  <Company>Christensen Associates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jdreaser</dc:creator>
  <cp:lastModifiedBy>Evans, Michelle A - Memphis, TN</cp:lastModifiedBy>
  <cp:lastPrinted>2006-04-11T13:06:23Z</cp:lastPrinted>
  <dcterms:created xsi:type="dcterms:W3CDTF">2004-11-02T16:13:05Z</dcterms:created>
  <dcterms:modified xsi:type="dcterms:W3CDTF">2023-12-18T15:10:18Z</dcterms:modified>
</cp:coreProperties>
</file>